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0" windowWidth="12120" windowHeight="4275" tabRatio="801" activeTab="0"/>
  </bookViews>
  <sheets>
    <sheet name="CALCULADORA TECH E-3" sheetId="1" r:id="rId1"/>
    <sheet name="Tasas de Mercado" sheetId="2" r:id="rId2"/>
    <sheet name="Flujos Mensuales" sheetId="3" r:id="rId3"/>
    <sheet name="Tabla de Amortizacion" sheetId="4" r:id="rId4"/>
  </sheets>
  <definedNames/>
  <calcPr fullCalcOnLoad="1"/>
</workbook>
</file>

<file path=xl/sharedStrings.xml><?xml version="1.0" encoding="utf-8"?>
<sst xmlns="http://schemas.openxmlformats.org/spreadsheetml/2006/main" count="153" uniqueCount="93">
  <si>
    <t>Fecha</t>
  </si>
  <si>
    <t>Pago Total</t>
  </si>
  <si>
    <t>Amortzacion</t>
  </si>
  <si>
    <t>Saldo vigente</t>
  </si>
  <si>
    <t>Pago a capital</t>
  </si>
  <si>
    <t>Pago Intereses</t>
  </si>
  <si>
    <t>Es el 100% del valor del titulo</t>
  </si>
  <si>
    <t>Día de emision</t>
  </si>
  <si>
    <t>VPN (Precio Sucio)</t>
  </si>
  <si>
    <t>Acrual</t>
  </si>
  <si>
    <t>VPN(precio sucio a otra tasa</t>
  </si>
  <si>
    <t>FECHA</t>
  </si>
  <si>
    <t>Meses</t>
  </si>
  <si>
    <t>Años</t>
  </si>
  <si>
    <t>Vida Promedio Teorica(meses)</t>
  </si>
  <si>
    <t>Calculo de los dias de accrual</t>
  </si>
  <si>
    <t>Accrual del periodo</t>
  </si>
  <si>
    <t>Dias de Acrual</t>
  </si>
  <si>
    <t>Acrual Total</t>
  </si>
  <si>
    <t>Precio Limpio</t>
  </si>
  <si>
    <t>Dias de valoracion</t>
  </si>
  <si>
    <t>CELDAS MODIFICABLES EN ROJO</t>
  </si>
  <si>
    <t>TASA DE DESCUENTO</t>
  </si>
  <si>
    <t>EFECTIVA ANUAL</t>
  </si>
  <si>
    <t>TASA MV</t>
  </si>
  <si>
    <t>TASA CUPON</t>
  </si>
  <si>
    <t>VPN(precio sucio a tasa de descuento</t>
  </si>
  <si>
    <t>Numero de dias con base 360 a la fecha de valoracion</t>
  </si>
  <si>
    <t>PRECIO SUCIO / Vr Nominal Inicial</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</si>
  <si>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</si>
  <si>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Tabla de Amortización Nivel Bajo</t>
  </si>
  <si>
    <t>Tabla de Amortización Nivel Medio Bajo</t>
  </si>
  <si>
    <t>Tabla de Amortización Nivel Alto</t>
  </si>
  <si>
    <t>Tabla de Amortización Nivel Medio Alto</t>
  </si>
  <si>
    <t>Tabla de Amortización Nivel Medio</t>
  </si>
  <si>
    <t>Fecha de Emision</t>
  </si>
  <si>
    <t>Fecha de Cumplimiento</t>
  </si>
  <si>
    <t>Ultima fecha de pago</t>
  </si>
  <si>
    <t>TASA NOMINAL ANUAL TV</t>
  </si>
  <si>
    <t>TASA TV</t>
  </si>
  <si>
    <t>TASA NOMINAL ANUAL MV</t>
  </si>
  <si>
    <t>TABLA DE AMORTIZACION</t>
  </si>
  <si>
    <t>Tabla de Amortización Contractual</t>
  </si>
  <si>
    <t>PRECIO SUCIO / Vr Nominal Actual</t>
  </si>
  <si>
    <t>Vp*t</t>
  </si>
  <si>
    <t>Mod. Dur</t>
  </si>
  <si>
    <t>dur.mcaulay</t>
  </si>
  <si>
    <t>Duración Modificada</t>
  </si>
  <si>
    <t>Nivel Bajo:</t>
  </si>
  <si>
    <t>Tiempo duración Procesos Judiciales: 50 meses</t>
  </si>
  <si>
    <t>Nivel Medio-Bajo:</t>
  </si>
  <si>
    <t>Nivel Medio:</t>
  </si>
  <si>
    <t>Nivel Medio-Alto:</t>
  </si>
  <si>
    <t>Nivel Alto:</t>
  </si>
  <si>
    <t>Tiempo duración Procesos Judiciales: 66 meses</t>
  </si>
  <si>
    <t>Tiempo duración Procesos Judiciales: 60 meses</t>
  </si>
  <si>
    <t>Severidad en la Pérdida: 36%</t>
  </si>
  <si>
    <t>Severidad en la Pérdida: 30%</t>
  </si>
  <si>
    <t>Tiempo duración Procesos Judiciales: 45 meses</t>
  </si>
  <si>
    <t>Tiempo duración Procesos Judiciales: 40 meses</t>
  </si>
  <si>
    <t>*Escenarios de Amortización de Capital</t>
  </si>
  <si>
    <t>Comparativo de Rentabilidades</t>
  </si>
  <si>
    <t>Tes UVR</t>
  </si>
  <si>
    <t>Inflación</t>
  </si>
  <si>
    <t>Actualizar Datos en Celdas Blancas</t>
  </si>
  <si>
    <t>Vencimiento</t>
  </si>
  <si>
    <t>Duration</t>
  </si>
  <si>
    <t>Tasa</t>
  </si>
  <si>
    <t>Mercado</t>
  </si>
  <si>
    <t>Facial</t>
  </si>
  <si>
    <t>Secundario</t>
  </si>
  <si>
    <t>TECH</t>
  </si>
  <si>
    <t>Tech</t>
  </si>
  <si>
    <t>Duración</t>
  </si>
  <si>
    <t>Vida Promedio Restante</t>
  </si>
  <si>
    <t>Mes # INICIAL</t>
  </si>
  <si>
    <t>Mes # ACTUAL</t>
  </si>
  <si>
    <t>RESTANTE</t>
  </si>
  <si>
    <t>INICIAL</t>
  </si>
  <si>
    <t>ACTUAL</t>
  </si>
  <si>
    <t>Vida Promedio desde Emisión</t>
  </si>
  <si>
    <t>Duración Macaulay</t>
  </si>
  <si>
    <t>Duración de BRP's en Inventario (meses): 29 (VIS), 20 (NO VIS)</t>
  </si>
  <si>
    <t>Duración de BRP's en Inventario (meses): 26 (VIS), 18 (NO VIS)</t>
  </si>
  <si>
    <t>Gastos de Administración a cargo de: Universalidad</t>
  </si>
  <si>
    <t>Gastos de Administración a cargo de: Bancos</t>
  </si>
  <si>
    <t>Duración de BRP's en Inventario (meses): 22 (VIS), 15 (NO VIS)</t>
  </si>
  <si>
    <t>Tabla de Amortización Valoración</t>
  </si>
  <si>
    <t>TECH 2010</t>
  </si>
  <si>
    <t>TECH 2012</t>
  </si>
  <si>
    <t>TECH-2010</t>
  </si>
  <si>
    <t>TECH-2012</t>
  </si>
  <si>
    <t>CALCULADORA PRECIO CON PREPAGOS TECH E-3</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</si>
</sst>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 &quot;pta&quot;_-;\-* #,##0\ &quot;pta&quot;_-;_-* &quot;-&quot;\ &quot;pta&quot;_-;_-@_-"/>
    <numFmt numFmtId="165" formatCode="_-* #,##0\ _p_t_a_-;\-* #,##0\ _p_t_a_-;_-* &quot;-&quot;\ _p_t_a_-;_-@_-"/>
    <numFmt numFmtId="166" formatCode="_-* #,##0.00\ &quot;pta&quot;_-;\-* #,##0.00\ &quot;pta&quot;_-;_-* &quot;-&quot;??\ &quot;pta&quot;_-;_-@_-"/>
    <numFmt numFmtId="167" formatCode="_-* #,##0.00\ _p_t_a_-;\-* #,##0.00\ _p_t_a_-;_-* &quot;-&quot;??\ _p_t_a_-;_-@_-"/>
    <numFmt numFmtId="168" formatCode="0.00000%"/>
    <numFmt numFmtId="169" formatCode="0.000%"/>
    <numFmt numFmtId="170" formatCode="_ * #,##0_ ;_ * \-#,##0_ ;_ * &quot;-&quot;??_ ;_ @_ "/>
    <numFmt numFmtId="171" formatCode="#,##0.00_ ;\-#,##0.00\ "/>
    <numFmt numFmtId="172" formatCode="0.0000"/>
    <numFmt numFmtId="173" formatCode="0.00_ ;[Red]\-0.00\ "/>
    <numFmt numFmtId="174" formatCode="0.000000000000000000_ ;[Red]\-0.000000000000000000\ "/>
    <numFmt numFmtId="175" formatCode="0.000"/>
    <numFmt numFmtId="176" formatCode="0.00000"/>
    <numFmt numFmtId="177" formatCode="#,##0.000"/>
    <numFmt numFmtId="178" formatCode="0.000000000%"/>
    <numFmt numFmtId="179" formatCode="0.0000000%"/>
    <numFmt numFmtId="180" formatCode="0.0000%"/>
    <numFmt numFmtId="181" formatCode="_-* #,##0\ _p_t_a_-;\-* #,##0\ _p_t_a_-;_-* &quot;-&quot;??\ _p_t_a_-;_-@_-"/>
    <numFmt numFmtId="182" formatCode="0.000000%"/>
    <numFmt numFmtId="183" formatCode="_-* #,##0.000\ _p_t_a_-;\-* #,##0.000\ _p_t_a_-;_-* &quot;-&quot;??\ _p_t_a_-;_-@_-"/>
    <numFmt numFmtId="184" formatCode="0.0"/>
    <numFmt numFmtId="185" formatCode="0.00000000"/>
    <numFmt numFmtId="186" formatCode="0.0000000"/>
    <numFmt numFmtId="187" formatCode="0.000000"/>
    <numFmt numFmtId="188" formatCode="0.00000000%"/>
    <numFmt numFmtId="189" formatCode="0.0000000000%"/>
    <numFmt numFmtId="190" formatCode="0.00000000000%"/>
    <numFmt numFmtId="191" formatCode="0.000000000000%"/>
    <numFmt numFmtId="192" formatCode="#,##0.000000"/>
    <numFmt numFmtId="193" formatCode="0.00000000000000%"/>
  </numFmts>
  <fonts count="2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12"/>
      <name val="Arial"/>
      <family val="0"/>
    </font>
    <font>
      <sz val="12"/>
      <color indexed="18"/>
      <name val="Arial"/>
      <family val="0"/>
    </font>
    <font>
      <b/>
      <sz val="12"/>
      <color indexed="22"/>
      <name val="Arial"/>
      <family val="0"/>
    </font>
    <font>
      <b/>
      <sz val="12"/>
      <color indexed="10"/>
      <name val="Arial"/>
      <family val="0"/>
    </font>
    <font>
      <b/>
      <sz val="12"/>
      <color indexed="18"/>
      <name val="Arial"/>
      <family val="0"/>
    </font>
    <font>
      <sz val="12"/>
      <color indexed="16"/>
      <name val="Arial"/>
      <family val="0"/>
    </font>
    <font>
      <b/>
      <sz val="12"/>
      <color indexed="9"/>
      <name val="Arial"/>
      <family val="0"/>
    </font>
    <font>
      <sz val="12"/>
      <color indexed="62"/>
      <name val="Arial"/>
      <family val="0"/>
    </font>
    <font>
      <b/>
      <sz val="12"/>
      <color indexed="62"/>
      <name val="Arial"/>
      <family val="0"/>
    </font>
    <font>
      <b/>
      <sz val="12"/>
      <color indexed="8"/>
      <name val="Arial"/>
      <family val="0"/>
    </font>
    <font>
      <b/>
      <sz val="20"/>
      <color indexed="8"/>
      <name val="Arial"/>
      <family val="2"/>
    </font>
    <font>
      <sz val="8"/>
      <name val="Tahoma"/>
      <family val="2"/>
    </font>
    <font>
      <b/>
      <sz val="12"/>
      <name val="Arial"/>
      <family val="2"/>
    </font>
    <font>
      <b/>
      <sz val="11"/>
      <name val="Arial"/>
      <family val="2"/>
    </font>
    <font>
      <b/>
      <u val="single"/>
      <sz val="10"/>
      <color indexed="12"/>
      <name val="Arial"/>
      <family val="2"/>
    </font>
    <font>
      <sz val="10"/>
      <color indexed="63"/>
      <name val="Arial"/>
      <family val="2"/>
    </font>
    <font>
      <b/>
      <sz val="10"/>
      <color indexed="63"/>
      <name val="Arial"/>
      <family val="2"/>
    </font>
    <font>
      <sz val="8"/>
      <name val="Verdana"/>
      <family val="2"/>
    </font>
    <font>
      <sz val="8.25"/>
      <name val="Verdana"/>
      <family val="2"/>
    </font>
    <font>
      <sz val="10"/>
      <color indexed="10"/>
      <name val="Arial"/>
      <family val="2"/>
    </font>
    <font>
      <sz val="5"/>
      <name val="Verdana"/>
      <family val="2"/>
    </font>
    <font>
      <sz val="7.25"/>
      <name val="Verdana"/>
      <family val="2"/>
    </font>
    <font>
      <b/>
      <sz val="10"/>
      <color indexed="9"/>
      <name val="Arial"/>
      <family val="0"/>
    </font>
    <font>
      <sz val="10"/>
      <color indexed="18"/>
      <name val="Arial"/>
      <family val="0"/>
    </font>
  </fonts>
  <fills count="9">
    <fill>
      <patternFill/>
    </fill>
    <fill>
      <patternFill patternType="gray125"/>
    </fill>
    <fill>
      <patternFill patternType="solid">
        <fgColor indexed="41"/>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s>
  <borders count="32">
    <border>
      <left/>
      <right/>
      <top/>
      <bottom/>
      <diagonal/>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0" fillId="0" borderId="0" xfId="0" applyAlignment="1" applyProtection="1">
      <alignment/>
      <protection hidden="1"/>
    </xf>
    <xf numFmtId="2" fontId="0" fillId="0" borderId="0" xfId="0" applyNumberFormat="1" applyAlignment="1" applyProtection="1">
      <alignment/>
      <protection hidden="1"/>
    </xf>
    <xf numFmtId="171" fontId="0" fillId="0" borderId="0" xfId="0" applyNumberFormat="1" applyAlignment="1" applyProtection="1">
      <alignment/>
      <protection hidden="1"/>
    </xf>
    <xf numFmtId="174" fontId="0" fillId="0" borderId="0" xfId="0" applyNumberFormat="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wrapText="1"/>
      <protection hidden="1"/>
    </xf>
    <xf numFmtId="2" fontId="0" fillId="0" borderId="0" xfId="21" applyNumberFormat="1" applyFont="1" applyFill="1" applyBorder="1" applyAlignment="1" applyProtection="1">
      <alignment wrapText="1"/>
      <protection hidden="1"/>
    </xf>
    <xf numFmtId="168" fontId="0" fillId="0" borderId="0" xfId="21" applyNumberFormat="1" applyFont="1" applyFill="1" applyBorder="1" applyAlignment="1" applyProtection="1">
      <alignment wrapText="1"/>
      <protection hidden="1"/>
    </xf>
    <xf numFmtId="168" fontId="0" fillId="0" borderId="0" xfId="21" applyNumberFormat="1" applyAlignment="1" applyProtection="1">
      <alignment/>
      <protection hidden="1"/>
    </xf>
    <xf numFmtId="171" fontId="0" fillId="0" borderId="0" xfId="18" applyNumberFormat="1" applyAlignment="1" applyProtection="1">
      <alignment/>
      <protection hidden="1"/>
    </xf>
    <xf numFmtId="172" fontId="0" fillId="0" borderId="0" xfId="0" applyNumberFormat="1" applyAlignment="1" applyProtection="1">
      <alignment/>
      <protection hidden="1"/>
    </xf>
    <xf numFmtId="0" fontId="0" fillId="0" borderId="0" xfId="0" applyFont="1" applyAlignment="1" applyProtection="1">
      <alignment/>
      <protection hidden="1"/>
    </xf>
    <xf numFmtId="14" fontId="0" fillId="0" borderId="0" xfId="0" applyNumberFormat="1" applyAlignment="1" applyProtection="1">
      <alignment/>
      <protection hidden="1"/>
    </xf>
    <xf numFmtId="0" fontId="0" fillId="0" borderId="0" xfId="0" applyFill="1" applyAlignment="1" applyProtection="1">
      <alignment/>
      <protection hidden="1"/>
    </xf>
    <xf numFmtId="0" fontId="0" fillId="0" borderId="0" xfId="0" applyFont="1" applyFill="1" applyAlignment="1" applyProtection="1">
      <alignment/>
      <protection hidden="1"/>
    </xf>
    <xf numFmtId="1" fontId="0" fillId="0" borderId="0" xfId="21" applyNumberFormat="1" applyFont="1" applyFill="1" applyBorder="1" applyAlignment="1" applyProtection="1">
      <alignment/>
      <protection hidden="1"/>
    </xf>
    <xf numFmtId="2" fontId="0" fillId="2" borderId="0" xfId="0" applyNumberFormat="1" applyFill="1" applyAlignment="1" applyProtection="1">
      <alignment/>
      <protection hidden="1"/>
    </xf>
    <xf numFmtId="14" fontId="0" fillId="0" borderId="0" xfId="0" applyNumberFormat="1" applyFill="1" applyAlignment="1" applyProtection="1">
      <alignment/>
      <protection hidden="1"/>
    </xf>
    <xf numFmtId="0" fontId="5" fillId="3" borderId="0" xfId="0" applyFont="1" applyFill="1" applyAlignment="1">
      <alignment/>
    </xf>
    <xf numFmtId="0" fontId="6" fillId="3" borderId="0" xfId="0" applyFont="1" applyFill="1" applyAlignment="1">
      <alignment/>
    </xf>
    <xf numFmtId="0" fontId="5" fillId="4" borderId="0" xfId="0" applyFont="1" applyFill="1" applyAlignment="1">
      <alignment/>
    </xf>
    <xf numFmtId="0" fontId="5" fillId="3" borderId="0" xfId="0" applyFont="1" applyFill="1" applyBorder="1" applyAlignment="1">
      <alignment/>
    </xf>
    <xf numFmtId="0" fontId="5" fillId="4" borderId="0" xfId="0" applyFont="1" applyFill="1" applyBorder="1" applyAlignment="1">
      <alignment/>
    </xf>
    <xf numFmtId="0" fontId="11" fillId="4" borderId="0" xfId="0" applyFont="1" applyFill="1" applyBorder="1" applyAlignment="1" applyProtection="1">
      <alignment horizontal="left"/>
      <protection hidden="1"/>
    </xf>
    <xf numFmtId="2" fontId="6" fillId="4" borderId="1" xfId="0" applyNumberFormat="1" applyFont="1" applyFill="1" applyBorder="1" applyAlignment="1">
      <alignment/>
    </xf>
    <xf numFmtId="2" fontId="9" fillId="4" borderId="2" xfId="0" applyNumberFormat="1" applyFont="1" applyFill="1" applyBorder="1" applyAlignment="1">
      <alignment/>
    </xf>
    <xf numFmtId="2" fontId="9" fillId="4" borderId="3" xfId="0" applyNumberFormat="1" applyFont="1" applyFill="1" applyBorder="1" applyAlignment="1">
      <alignment/>
    </xf>
    <xf numFmtId="2" fontId="9" fillId="4" borderId="4" xfId="0" applyNumberFormat="1" applyFont="1" applyFill="1" applyBorder="1" applyAlignment="1">
      <alignment/>
    </xf>
    <xf numFmtId="0" fontId="7" fillId="4" borderId="0" xfId="0" applyFont="1" applyFill="1" applyBorder="1" applyAlignment="1">
      <alignment/>
    </xf>
    <xf numFmtId="0" fontId="5" fillId="3" borderId="0" xfId="0" applyFont="1" applyFill="1" applyBorder="1" applyAlignment="1">
      <alignment wrapText="1"/>
    </xf>
    <xf numFmtId="0" fontId="5" fillId="4" borderId="0" xfId="0" applyFont="1" applyFill="1" applyBorder="1" applyAlignment="1">
      <alignment wrapText="1"/>
    </xf>
    <xf numFmtId="10" fontId="8" fillId="4" borderId="5" xfId="21" applyNumberFormat="1" applyFont="1" applyFill="1" applyBorder="1" applyAlignment="1" applyProtection="1">
      <alignment horizontal="center"/>
      <protection locked="0"/>
    </xf>
    <xf numFmtId="0" fontId="7" fillId="4" borderId="0" xfId="0" applyFont="1" applyFill="1" applyBorder="1" applyAlignment="1">
      <alignment wrapText="1"/>
    </xf>
    <xf numFmtId="4" fontId="12" fillId="4" borderId="0" xfId="0" applyNumberFormat="1" applyFont="1" applyFill="1" applyBorder="1" applyAlignment="1">
      <alignment/>
    </xf>
    <xf numFmtId="9" fontId="5" fillId="4" borderId="0" xfId="21" applyFont="1" applyFill="1" applyAlignment="1">
      <alignment/>
    </xf>
    <xf numFmtId="178" fontId="5" fillId="4" borderId="0" xfId="0" applyNumberFormat="1" applyFont="1" applyFill="1" applyAlignment="1">
      <alignment/>
    </xf>
    <xf numFmtId="10" fontId="5" fillId="4" borderId="0" xfId="21" applyNumberFormat="1" applyFont="1" applyFill="1" applyBorder="1" applyAlignment="1">
      <alignment/>
    </xf>
    <xf numFmtId="170" fontId="5" fillId="4" borderId="0" xfId="17" applyNumberFormat="1" applyFont="1" applyFill="1" applyBorder="1" applyAlignment="1">
      <alignment/>
    </xf>
    <xf numFmtId="168" fontId="5" fillId="4" borderId="0" xfId="0" applyNumberFormat="1" applyFont="1" applyFill="1" applyAlignment="1">
      <alignment/>
    </xf>
    <xf numFmtId="0" fontId="11" fillId="3" borderId="6" xfId="0" applyFont="1" applyFill="1" applyBorder="1" applyAlignment="1">
      <alignment/>
    </xf>
    <xf numFmtId="0" fontId="11" fillId="3" borderId="7" xfId="0" applyFont="1" applyFill="1" applyBorder="1" applyAlignment="1">
      <alignment/>
    </xf>
    <xf numFmtId="0" fontId="11" fillId="3" borderId="8" xfId="0" applyFont="1" applyFill="1" applyBorder="1" applyAlignment="1">
      <alignment/>
    </xf>
    <xf numFmtId="0" fontId="11" fillId="3" borderId="5" xfId="0" applyFont="1" applyFill="1" applyBorder="1" applyAlignment="1">
      <alignment horizontal="center"/>
    </xf>
    <xf numFmtId="0" fontId="11" fillId="3" borderId="9" xfId="0" applyFont="1" applyFill="1" applyBorder="1" applyAlignment="1">
      <alignment horizontal="center"/>
    </xf>
    <xf numFmtId="0" fontId="14" fillId="4" borderId="0" xfId="0" applyFont="1" applyFill="1" applyBorder="1" applyAlignment="1">
      <alignment/>
    </xf>
    <xf numFmtId="0" fontId="11" fillId="3" borderId="7" xfId="0" applyFont="1" applyFill="1" applyBorder="1" applyAlignment="1">
      <alignment horizontal="left"/>
    </xf>
    <xf numFmtId="0" fontId="11" fillId="3" borderId="10" xfId="0" applyFont="1" applyFill="1" applyBorder="1" applyAlignment="1">
      <alignment horizontal="center"/>
    </xf>
    <xf numFmtId="0" fontId="8" fillId="4" borderId="0" xfId="0" applyFont="1" applyFill="1" applyAlignment="1">
      <alignment horizontal="left" vertical="center"/>
    </xf>
    <xf numFmtId="175" fontId="9" fillId="4" borderId="5" xfId="0" applyNumberFormat="1" applyFont="1" applyFill="1" applyBorder="1" applyAlignment="1">
      <alignment horizontal="center"/>
    </xf>
    <xf numFmtId="169" fontId="0" fillId="0" borderId="0" xfId="21" applyNumberFormat="1" applyAlignment="1" applyProtection="1">
      <alignment/>
      <protection hidden="1"/>
    </xf>
    <xf numFmtId="179" fontId="6" fillId="4" borderId="7" xfId="21" applyNumberFormat="1" applyFont="1" applyFill="1" applyBorder="1" applyAlignment="1" applyProtection="1">
      <alignment horizontal="center"/>
      <protection/>
    </xf>
    <xf numFmtId="179" fontId="6" fillId="4" borderId="8" xfId="21" applyNumberFormat="1" applyFont="1" applyFill="1" applyBorder="1" applyAlignment="1" applyProtection="1">
      <alignment horizontal="center"/>
      <protection/>
    </xf>
    <xf numFmtId="179" fontId="6" fillId="4" borderId="6" xfId="21" applyNumberFormat="1" applyFont="1" applyFill="1" applyBorder="1" applyAlignment="1" applyProtection="1">
      <alignment horizontal="center"/>
      <protection/>
    </xf>
    <xf numFmtId="0" fontId="0" fillId="0" borderId="11" xfId="0" applyFont="1" applyBorder="1" applyAlignment="1" applyProtection="1">
      <alignment/>
      <protection hidden="1"/>
    </xf>
    <xf numFmtId="2" fontId="1" fillId="0" borderId="12" xfId="21" applyNumberFormat="1" applyFont="1" applyFill="1" applyBorder="1" applyAlignment="1" applyProtection="1">
      <alignment/>
      <protection hidden="1"/>
    </xf>
    <xf numFmtId="0" fontId="0" fillId="0" borderId="12" xfId="0" applyBorder="1" applyAlignment="1" applyProtection="1">
      <alignment/>
      <protection hidden="1"/>
    </xf>
    <xf numFmtId="168" fontId="1" fillId="0" borderId="12" xfId="21" applyNumberFormat="1" applyFont="1" applyFill="1" applyBorder="1" applyAlignment="1" applyProtection="1">
      <alignment/>
      <protection hidden="1"/>
    </xf>
    <xf numFmtId="168" fontId="1" fillId="0" borderId="13" xfId="21" applyNumberFormat="1" applyFont="1" applyFill="1" applyBorder="1" applyAlignment="1" applyProtection="1">
      <alignment/>
      <protection hidden="1"/>
    </xf>
    <xf numFmtId="168" fontId="0" fillId="0" borderId="14" xfId="21" applyNumberFormat="1" applyFont="1" applyFill="1" applyBorder="1" applyAlignment="1" applyProtection="1">
      <alignment wrapText="1"/>
      <protection hidden="1"/>
    </xf>
    <xf numFmtId="168" fontId="0" fillId="0" borderId="15" xfId="21" applyNumberFormat="1" applyFont="1" applyFill="1" applyBorder="1" applyAlignment="1" applyProtection="1">
      <alignment wrapText="1"/>
      <protection hidden="1"/>
    </xf>
    <xf numFmtId="168" fontId="1" fillId="0" borderId="11" xfId="21" applyNumberFormat="1" applyFont="1" applyFill="1" applyBorder="1" applyAlignment="1" applyProtection="1">
      <alignment/>
      <protection hidden="1"/>
    </xf>
    <xf numFmtId="0" fontId="0" fillId="0" borderId="14" xfId="0" applyBorder="1" applyAlignment="1" applyProtection="1">
      <alignment/>
      <protection hidden="1"/>
    </xf>
    <xf numFmtId="173" fontId="0" fillId="0" borderId="14" xfId="0" applyNumberFormat="1" applyFill="1" applyBorder="1" applyAlignment="1" applyProtection="1">
      <alignment/>
      <protection hidden="1"/>
    </xf>
    <xf numFmtId="0" fontId="0" fillId="0" borderId="14" xfId="0" applyFill="1" applyBorder="1" applyAlignment="1" applyProtection="1">
      <alignment/>
      <protection hidden="1"/>
    </xf>
    <xf numFmtId="168" fontId="11" fillId="3" borderId="5" xfId="21" applyNumberFormat="1" applyFont="1" applyFill="1" applyBorder="1" applyAlignment="1">
      <alignment horizontal="center"/>
    </xf>
    <xf numFmtId="175" fontId="8" fillId="5" borderId="5" xfId="0" applyNumberFormat="1" applyFont="1" applyFill="1" applyBorder="1" applyAlignment="1">
      <alignment horizontal="center"/>
    </xf>
    <xf numFmtId="0" fontId="11" fillId="3" borderId="8" xfId="0" applyFont="1" applyFill="1" applyBorder="1" applyAlignment="1">
      <alignment wrapText="1"/>
    </xf>
    <xf numFmtId="167" fontId="0" fillId="0" borderId="0" xfId="17" applyBorder="1" applyAlignment="1" applyProtection="1">
      <alignment/>
      <protection hidden="1"/>
    </xf>
    <xf numFmtId="167" fontId="0" fillId="0" borderId="0" xfId="17" applyFill="1" applyBorder="1" applyAlignment="1" applyProtection="1">
      <alignment/>
      <protection hidden="1"/>
    </xf>
    <xf numFmtId="167" fontId="0" fillId="0" borderId="0" xfId="17" applyBorder="1" applyAlignment="1" applyProtection="1">
      <alignment horizontal="right"/>
      <protection hidden="1"/>
    </xf>
    <xf numFmtId="167" fontId="0" fillId="0" borderId="0" xfId="17" applyFont="1" applyFill="1" applyBorder="1" applyAlignment="1" applyProtection="1">
      <alignment horizontal="right"/>
      <protection hidden="1"/>
    </xf>
    <xf numFmtId="167" fontId="0" fillId="0" borderId="15" xfId="17" applyBorder="1" applyAlignment="1" applyProtection="1">
      <alignment horizontal="right"/>
      <protection hidden="1"/>
    </xf>
    <xf numFmtId="167" fontId="0" fillId="0" borderId="0" xfId="17" applyFill="1" applyBorder="1" applyAlignment="1" applyProtection="1">
      <alignment horizontal="right"/>
      <protection hidden="1"/>
    </xf>
    <xf numFmtId="168" fontId="0" fillId="0" borderId="0" xfId="21" applyNumberFormat="1" applyBorder="1" applyAlignment="1" applyProtection="1">
      <alignment/>
      <protection hidden="1"/>
    </xf>
    <xf numFmtId="168" fontId="0" fillId="0" borderId="0" xfId="21" applyNumberFormat="1" applyFill="1" applyBorder="1" applyAlignment="1" applyProtection="1">
      <alignment/>
      <protection hidden="1"/>
    </xf>
    <xf numFmtId="181" fontId="0" fillId="0" borderId="14" xfId="17" applyNumberFormat="1" applyFont="1" applyFill="1" applyBorder="1" applyAlignment="1" applyProtection="1">
      <alignment/>
      <protection hidden="1"/>
    </xf>
    <xf numFmtId="182" fontId="0" fillId="0" borderId="0" xfId="21" applyNumberFormat="1" applyBorder="1" applyAlignment="1" applyProtection="1">
      <alignment/>
      <protection hidden="1"/>
    </xf>
    <xf numFmtId="182" fontId="0" fillId="0" borderId="0" xfId="21" applyNumberFormat="1" applyFill="1" applyBorder="1" applyAlignment="1" applyProtection="1">
      <alignment/>
      <protection hidden="1"/>
    </xf>
    <xf numFmtId="177" fontId="9" fillId="4" borderId="9" xfId="0" applyNumberFormat="1" applyFont="1" applyFill="1" applyBorder="1" applyAlignment="1">
      <alignment horizontal="center"/>
    </xf>
    <xf numFmtId="0" fontId="5" fillId="4" borderId="0" xfId="0" applyFont="1" applyFill="1" applyBorder="1" applyAlignment="1">
      <alignment/>
    </xf>
    <xf numFmtId="0" fontId="15" fillId="4" borderId="0" xfId="0" applyFont="1" applyFill="1" applyAlignment="1">
      <alignment vertical="center"/>
    </xf>
    <xf numFmtId="10" fontId="8" fillId="4" borderId="9" xfId="21" applyNumberFormat="1" applyFont="1" applyFill="1" applyBorder="1" applyAlignment="1" applyProtection="1">
      <alignment horizontal="center"/>
      <protection locked="0"/>
    </xf>
    <xf numFmtId="0" fontId="15" fillId="3" borderId="0" xfId="0" applyFont="1" applyFill="1" applyAlignment="1">
      <alignment vertical="center"/>
    </xf>
    <xf numFmtId="179" fontId="5" fillId="4" borderId="0" xfId="0" applyNumberFormat="1" applyFont="1" applyFill="1" applyBorder="1" applyAlignment="1">
      <alignment/>
    </xf>
    <xf numFmtId="167" fontId="0" fillId="0" borderId="0" xfId="0" applyNumberFormat="1" applyAlignment="1" applyProtection="1">
      <alignment/>
      <protection hidden="1"/>
    </xf>
    <xf numFmtId="43" fontId="0" fillId="0" borderId="0" xfId="0" applyNumberFormat="1" applyAlignment="1" applyProtection="1">
      <alignment/>
      <protection hidden="1"/>
    </xf>
    <xf numFmtId="168" fontId="1" fillId="0" borderId="6" xfId="21" applyNumberFormat="1" applyFont="1" applyFill="1" applyBorder="1" applyAlignment="1" applyProtection="1">
      <alignment/>
      <protection hidden="1"/>
    </xf>
    <xf numFmtId="168" fontId="0" fillId="0" borderId="7" xfId="21" applyNumberFormat="1" applyFont="1" applyFill="1" applyBorder="1" applyAlignment="1" applyProtection="1">
      <alignment wrapText="1"/>
      <protection hidden="1"/>
    </xf>
    <xf numFmtId="167" fontId="0" fillId="0" borderId="7" xfId="17" applyBorder="1" applyAlignment="1" applyProtection="1">
      <alignment horizontal="right"/>
      <protection hidden="1"/>
    </xf>
    <xf numFmtId="167" fontId="5" fillId="4" borderId="0" xfId="17" applyFont="1" applyFill="1" applyBorder="1" applyAlignment="1">
      <alignment/>
    </xf>
    <xf numFmtId="2" fontId="6" fillId="4" borderId="16" xfId="0" applyNumberFormat="1" applyFont="1" applyFill="1" applyBorder="1" applyAlignment="1">
      <alignment/>
    </xf>
    <xf numFmtId="14" fontId="13" fillId="4" borderId="17" xfId="0" applyNumberFormat="1" applyFont="1" applyFill="1" applyBorder="1" applyAlignment="1" applyProtection="1">
      <alignment/>
      <protection locked="0"/>
    </xf>
    <xf numFmtId="14" fontId="8" fillId="4" borderId="18" xfId="0" applyNumberFormat="1" applyFont="1" applyFill="1" applyBorder="1" applyAlignment="1" applyProtection="1">
      <alignment/>
      <protection locked="0"/>
    </xf>
    <xf numFmtId="14" fontId="9" fillId="4" borderId="1" xfId="0" applyNumberFormat="1" applyFont="1" applyFill="1" applyBorder="1" applyAlignment="1" applyProtection="1">
      <alignment/>
      <protection hidden="1"/>
    </xf>
    <xf numFmtId="14" fontId="5" fillId="4" borderId="19" xfId="18" applyNumberFormat="1" applyFont="1" applyFill="1" applyBorder="1" applyAlignment="1">
      <alignment/>
    </xf>
    <xf numFmtId="14" fontId="10" fillId="4" borderId="20" xfId="0" applyNumberFormat="1" applyFont="1" applyFill="1" applyBorder="1" applyAlignment="1" applyProtection="1">
      <alignment/>
      <protection locked="0"/>
    </xf>
    <xf numFmtId="0" fontId="11" fillId="3" borderId="14" xfId="0" applyFont="1" applyFill="1" applyBorder="1" applyAlignment="1">
      <alignment horizontal="left"/>
    </xf>
    <xf numFmtId="0" fontId="11" fillId="3" borderId="15" xfId="0" applyFont="1" applyFill="1" applyBorder="1" applyAlignment="1">
      <alignment horizontal="left"/>
    </xf>
    <xf numFmtId="0" fontId="11" fillId="3" borderId="21" xfId="0" applyFont="1" applyFill="1" applyBorder="1" applyAlignment="1" applyProtection="1">
      <alignment horizontal="left"/>
      <protection hidden="1"/>
    </xf>
    <xf numFmtId="0" fontId="11" fillId="3" borderId="22" xfId="0" applyFont="1" applyFill="1" applyBorder="1" applyAlignment="1" applyProtection="1">
      <alignment horizontal="left"/>
      <protection hidden="1"/>
    </xf>
    <xf numFmtId="181" fontId="0" fillId="6" borderId="14" xfId="17" applyNumberFormat="1" applyFont="1" applyFill="1" applyBorder="1" applyAlignment="1" applyProtection="1">
      <alignment/>
      <protection hidden="1"/>
    </xf>
    <xf numFmtId="182" fontId="0" fillId="6" borderId="0" xfId="21" applyNumberFormat="1" applyFill="1" applyBorder="1" applyAlignment="1" applyProtection="1">
      <alignment/>
      <protection hidden="1"/>
    </xf>
    <xf numFmtId="167" fontId="0" fillId="6" borderId="0" xfId="17" applyFill="1" applyBorder="1" applyAlignment="1" applyProtection="1">
      <alignment horizontal="right"/>
      <protection hidden="1"/>
    </xf>
    <xf numFmtId="167" fontId="0" fillId="6" borderId="0" xfId="17" applyFont="1" applyFill="1" applyBorder="1" applyAlignment="1" applyProtection="1">
      <alignment horizontal="right"/>
      <protection hidden="1"/>
    </xf>
    <xf numFmtId="167" fontId="0" fillId="6" borderId="15" xfId="17" applyFill="1" applyBorder="1" applyAlignment="1" applyProtection="1">
      <alignment horizontal="right"/>
      <protection hidden="1"/>
    </xf>
    <xf numFmtId="168" fontId="0" fillId="6" borderId="0" xfId="21" applyNumberFormat="1" applyFill="1" applyBorder="1" applyAlignment="1" applyProtection="1">
      <alignment/>
      <protection hidden="1"/>
    </xf>
    <xf numFmtId="167" fontId="0" fillId="6" borderId="7" xfId="17" applyFill="1" applyBorder="1" applyAlignment="1" applyProtection="1">
      <alignment horizontal="right"/>
      <protection hidden="1"/>
    </xf>
    <xf numFmtId="0" fontId="0" fillId="0" borderId="0" xfId="0" applyAlignment="1" applyProtection="1">
      <alignment/>
      <protection/>
    </xf>
    <xf numFmtId="0" fontId="19" fillId="0" borderId="0" xfId="15" applyFont="1" applyAlignment="1" applyProtection="1">
      <alignment horizontal="center" vertical="center"/>
      <protection/>
    </xf>
    <xf numFmtId="0" fontId="1" fillId="7" borderId="0" xfId="0" applyFont="1" applyFill="1" applyAlignment="1" applyProtection="1">
      <alignment/>
      <protection/>
    </xf>
    <xf numFmtId="0" fontId="0" fillId="7" borderId="0" xfId="0" applyFill="1" applyAlignment="1" applyProtection="1">
      <alignment/>
      <protection/>
    </xf>
    <xf numFmtId="43" fontId="0" fillId="7" borderId="0" xfId="0" applyNumberFormat="1" applyFill="1" applyAlignment="1" applyProtection="1">
      <alignment/>
      <protection/>
    </xf>
    <xf numFmtId="10" fontId="0" fillId="7" borderId="0" xfId="0" applyNumberFormat="1" applyFill="1" applyAlignment="1" applyProtection="1">
      <alignment/>
      <protection/>
    </xf>
    <xf numFmtId="0" fontId="1" fillId="7" borderId="23" xfId="0" applyFont="1" applyFill="1" applyBorder="1" applyAlignment="1" applyProtection="1">
      <alignment/>
      <protection/>
    </xf>
    <xf numFmtId="15" fontId="20" fillId="7" borderId="23" xfId="0" applyNumberFormat="1" applyFont="1" applyFill="1" applyBorder="1" applyAlignment="1" applyProtection="1">
      <alignment/>
      <protection/>
    </xf>
    <xf numFmtId="169" fontId="21" fillId="4" borderId="23" xfId="21" applyNumberFormat="1" applyFont="1" applyFill="1" applyBorder="1" applyAlignment="1" applyProtection="1">
      <alignment/>
      <protection locked="0"/>
    </xf>
    <xf numFmtId="0" fontId="4" fillId="7"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lignment/>
    </xf>
    <xf numFmtId="15" fontId="0" fillId="0" borderId="0" xfId="0" applyNumberFormat="1" applyFont="1" applyFill="1" applyAlignment="1" applyProtection="1">
      <alignment horizontal="center"/>
      <protection/>
    </xf>
    <xf numFmtId="10" fontId="0" fillId="0" borderId="0" xfId="21" applyNumberFormat="1" applyFont="1" applyFill="1" applyAlignment="1" applyProtection="1">
      <alignment horizontal="right"/>
      <protection/>
    </xf>
    <xf numFmtId="15" fontId="0" fillId="0" borderId="0" xfId="0" applyNumberFormat="1" applyFont="1" applyFill="1" applyAlignment="1" applyProtection="1">
      <alignment/>
      <protection/>
    </xf>
    <xf numFmtId="2" fontId="0" fillId="0" borderId="0" xfId="0" applyNumberFormat="1" applyFont="1" applyFill="1" applyAlignment="1" applyProtection="1">
      <alignment/>
      <protection/>
    </xf>
    <xf numFmtId="10" fontId="0" fillId="0" borderId="0" xfId="21" applyNumberFormat="1" applyFont="1" applyFill="1" applyAlignment="1" applyProtection="1">
      <alignment/>
      <protection/>
    </xf>
    <xf numFmtId="169" fontId="0" fillId="0" borderId="0" xfId="21" applyNumberFormat="1" applyFont="1" applyFill="1" applyAlignment="1" applyProtection="1">
      <alignment/>
      <protection/>
    </xf>
    <xf numFmtId="43" fontId="0" fillId="0" borderId="0" xfId="0" applyNumberFormat="1" applyFont="1" applyFill="1" applyAlignment="1" applyProtection="1">
      <alignment/>
      <protection/>
    </xf>
    <xf numFmtId="0" fontId="24" fillId="0" borderId="0" xfId="0" applyFont="1" applyFill="1" applyAlignment="1" applyProtection="1">
      <alignment/>
      <protection/>
    </xf>
    <xf numFmtId="10" fontId="0" fillId="0" borderId="0" xfId="0" applyNumberFormat="1" applyAlignment="1" applyProtection="1">
      <alignment/>
      <protection/>
    </xf>
    <xf numFmtId="2" fontId="0" fillId="0" borderId="0" xfId="0" applyNumberFormat="1" applyAlignment="1" applyProtection="1">
      <alignment/>
      <protection/>
    </xf>
    <xf numFmtId="0" fontId="11" fillId="3" borderId="11" xfId="0" applyFont="1" applyFill="1" applyBorder="1" applyAlignment="1">
      <alignment horizontal="center"/>
    </xf>
    <xf numFmtId="167" fontId="0" fillId="0" borderId="15" xfId="17" applyFill="1" applyBorder="1" applyAlignment="1" applyProtection="1">
      <alignment horizontal="right"/>
      <protection hidden="1"/>
    </xf>
    <xf numFmtId="167" fontId="0" fillId="0" borderId="7" xfId="17" applyFill="1" applyBorder="1" applyAlignment="1" applyProtection="1">
      <alignment horizontal="right"/>
      <protection hidden="1"/>
    </xf>
    <xf numFmtId="181" fontId="0" fillId="0" borderId="21" xfId="17" applyNumberFormat="1" applyFont="1" applyFill="1" applyBorder="1" applyAlignment="1" applyProtection="1">
      <alignment/>
      <protection hidden="1"/>
    </xf>
    <xf numFmtId="182" fontId="0" fillId="0" borderId="24" xfId="21" applyNumberFormat="1" applyFill="1" applyBorder="1" applyAlignment="1" applyProtection="1">
      <alignment/>
      <protection hidden="1"/>
    </xf>
    <xf numFmtId="167" fontId="0" fillId="0" borderId="24" xfId="17" applyFill="1" applyBorder="1" applyAlignment="1" applyProtection="1">
      <alignment/>
      <protection hidden="1"/>
    </xf>
    <xf numFmtId="167" fontId="0" fillId="0" borderId="24" xfId="17" applyFill="1" applyBorder="1" applyAlignment="1" applyProtection="1">
      <alignment horizontal="right"/>
      <protection hidden="1"/>
    </xf>
    <xf numFmtId="167" fontId="0" fillId="0" borderId="24" xfId="17" applyFont="1" applyFill="1" applyBorder="1" applyAlignment="1" applyProtection="1">
      <alignment horizontal="right"/>
      <protection hidden="1"/>
    </xf>
    <xf numFmtId="167" fontId="0" fillId="0" borderId="22" xfId="17" applyFill="1" applyBorder="1" applyAlignment="1" applyProtection="1">
      <alignment horizontal="right"/>
      <protection hidden="1"/>
    </xf>
    <xf numFmtId="0" fontId="0" fillId="0" borderId="21" xfId="0" applyFill="1" applyBorder="1" applyAlignment="1" applyProtection="1">
      <alignment/>
      <protection hidden="1"/>
    </xf>
    <xf numFmtId="168" fontId="0" fillId="0" borderId="24" xfId="21" applyNumberFormat="1" applyFill="1" applyBorder="1" applyAlignment="1" applyProtection="1">
      <alignment/>
      <protection hidden="1"/>
    </xf>
    <xf numFmtId="167" fontId="0" fillId="0" borderId="8" xfId="17" applyFill="1" applyBorder="1" applyAlignment="1" applyProtection="1">
      <alignment horizontal="right"/>
      <protection hidden="1"/>
    </xf>
    <xf numFmtId="0" fontId="0" fillId="0" borderId="0" xfId="0" applyFont="1" applyFill="1" applyAlignment="1" applyProtection="1">
      <alignment wrapText="1"/>
      <protection hidden="1"/>
    </xf>
    <xf numFmtId="181" fontId="0" fillId="0" borderId="0" xfId="17" applyNumberFormat="1" applyFont="1" applyFill="1" applyBorder="1" applyAlignment="1" applyProtection="1">
      <alignment/>
      <protection hidden="1"/>
    </xf>
    <xf numFmtId="0" fontId="0" fillId="0" borderId="0" xfId="0" applyFill="1" applyBorder="1" applyAlignment="1" applyProtection="1">
      <alignment/>
      <protection hidden="1"/>
    </xf>
    <xf numFmtId="0" fontId="11" fillId="3" borderId="24" xfId="0" applyFont="1" applyFill="1" applyBorder="1" applyAlignment="1">
      <alignment horizontal="center"/>
    </xf>
    <xf numFmtId="0" fontId="11" fillId="3" borderId="22" xfId="0" applyFont="1" applyFill="1" applyBorder="1" applyAlignment="1">
      <alignment horizontal="center"/>
    </xf>
    <xf numFmtId="0" fontId="11" fillId="3" borderId="8" xfId="0" applyFont="1" applyFill="1" applyBorder="1" applyAlignment="1">
      <alignment horizontal="left"/>
    </xf>
    <xf numFmtId="0" fontId="11" fillId="3" borderId="14" xfId="0" applyFont="1" applyFill="1" applyBorder="1" applyAlignment="1">
      <alignment horizontal="center"/>
    </xf>
    <xf numFmtId="0" fontId="17" fillId="4" borderId="25" xfId="0" applyFont="1" applyFill="1" applyBorder="1" applyAlignment="1">
      <alignment horizontal="left"/>
    </xf>
    <xf numFmtId="0" fontId="17" fillId="4" borderId="26" xfId="0" applyFont="1" applyFill="1" applyBorder="1" applyAlignment="1">
      <alignment horizontal="left"/>
    </xf>
    <xf numFmtId="0" fontId="17" fillId="4" borderId="27" xfId="0" applyFont="1" applyFill="1" applyBorder="1" applyAlignment="1">
      <alignment horizontal="left"/>
    </xf>
    <xf numFmtId="178" fontId="17" fillId="4" borderId="28" xfId="0" applyNumberFormat="1" applyFont="1" applyFill="1" applyBorder="1" applyAlignment="1">
      <alignment horizontal="left"/>
    </xf>
    <xf numFmtId="178" fontId="5" fillId="4" borderId="19" xfId="0" applyNumberFormat="1" applyFont="1" applyFill="1" applyBorder="1" applyAlignment="1">
      <alignment horizontal="left"/>
    </xf>
    <xf numFmtId="178" fontId="5" fillId="4" borderId="17" xfId="0" applyNumberFormat="1" applyFont="1" applyFill="1" applyBorder="1" applyAlignment="1">
      <alignment horizontal="left"/>
    </xf>
    <xf numFmtId="178" fontId="17" fillId="4" borderId="29" xfId="0" applyNumberFormat="1" applyFont="1" applyFill="1" applyBorder="1" applyAlignment="1">
      <alignment horizontal="left"/>
    </xf>
    <xf numFmtId="178" fontId="5" fillId="4" borderId="0" xfId="0" applyNumberFormat="1" applyFont="1" applyFill="1" applyBorder="1" applyAlignment="1">
      <alignment horizontal="left"/>
    </xf>
    <xf numFmtId="178" fontId="5" fillId="4" borderId="18" xfId="0" applyNumberFormat="1" applyFont="1" applyFill="1" applyBorder="1" applyAlignment="1">
      <alignment horizontal="left"/>
    </xf>
    <xf numFmtId="0" fontId="0" fillId="2" borderId="0" xfId="0" applyFont="1" applyFill="1" applyAlignment="1" applyProtection="1">
      <alignment wrapText="1"/>
      <protection hidden="1"/>
    </xf>
    <xf numFmtId="182" fontId="0" fillId="2" borderId="0" xfId="21" applyNumberFormat="1" applyFont="1" applyFill="1" applyBorder="1" applyAlignment="1" applyProtection="1">
      <alignment/>
      <protection hidden="1"/>
    </xf>
    <xf numFmtId="2" fontId="0" fillId="2" borderId="0" xfId="0" applyNumberFormat="1" applyFont="1" applyFill="1" applyAlignment="1" applyProtection="1">
      <alignment/>
      <protection hidden="1"/>
    </xf>
    <xf numFmtId="2" fontId="0" fillId="0" borderId="0" xfId="0" applyNumberFormat="1" applyFill="1" applyAlignment="1" applyProtection="1">
      <alignment/>
      <protection hidden="1"/>
    </xf>
    <xf numFmtId="165" fontId="0" fillId="0" borderId="0" xfId="18" applyFill="1" applyAlignment="1" applyProtection="1">
      <alignment/>
      <protection hidden="1"/>
    </xf>
    <xf numFmtId="0" fontId="0" fillId="0" borderId="0" xfId="0" applyBorder="1" applyAlignment="1" applyProtection="1">
      <alignment/>
      <protection hidden="1"/>
    </xf>
    <xf numFmtId="1" fontId="0" fillId="0" borderId="0" xfId="0" applyNumberFormat="1" applyFill="1" applyAlignment="1" applyProtection="1">
      <alignment/>
      <protection hidden="1"/>
    </xf>
    <xf numFmtId="172" fontId="0" fillId="0" borderId="0" xfId="0" applyNumberFormat="1" applyFill="1" applyAlignment="1" applyProtection="1">
      <alignment/>
      <protection hidden="1"/>
    </xf>
    <xf numFmtId="10" fontId="1" fillId="4" borderId="23" xfId="0" applyNumberFormat="1" applyFont="1" applyFill="1" applyBorder="1" applyAlignment="1" applyProtection="1">
      <alignment horizontal="center"/>
      <protection locked="0"/>
    </xf>
    <xf numFmtId="175" fontId="0" fillId="0" borderId="0" xfId="21" applyNumberFormat="1" applyFont="1" applyFill="1" applyBorder="1" applyAlignment="1" applyProtection="1">
      <alignment/>
      <protection hidden="1"/>
    </xf>
    <xf numFmtId="14" fontId="6" fillId="4" borderId="11" xfId="21" applyNumberFormat="1" applyFont="1" applyFill="1" applyBorder="1" applyAlignment="1" applyProtection="1">
      <alignment horizontal="center"/>
      <protection/>
    </xf>
    <xf numFmtId="14" fontId="6" fillId="4" borderId="14" xfId="21" applyNumberFormat="1" applyFont="1" applyFill="1" applyBorder="1" applyAlignment="1" applyProtection="1">
      <alignment horizontal="center"/>
      <protection/>
    </xf>
    <xf numFmtId="14" fontId="6" fillId="4" borderId="21" xfId="21" applyNumberFormat="1" applyFont="1" applyFill="1" applyBorder="1" applyAlignment="1" applyProtection="1">
      <alignment horizontal="center"/>
      <protection/>
    </xf>
    <xf numFmtId="0" fontId="11" fillId="3" borderId="6" xfId="0" applyFont="1" applyFill="1" applyBorder="1" applyAlignment="1">
      <alignment horizontal="center"/>
    </xf>
    <xf numFmtId="10" fontId="13" fillId="4" borderId="6" xfId="21" applyNumberFormat="1" applyFont="1" applyFill="1" applyBorder="1" applyAlignment="1" applyProtection="1">
      <alignment/>
      <protection locked="0"/>
    </xf>
    <xf numFmtId="169" fontId="12" fillId="4" borderId="7" xfId="21" applyNumberFormat="1" applyFont="1" applyFill="1" applyBorder="1" applyAlignment="1">
      <alignment/>
    </xf>
    <xf numFmtId="169" fontId="12" fillId="4" borderId="8" xfId="21" applyNumberFormat="1" applyFont="1" applyFill="1" applyBorder="1" applyAlignment="1">
      <alignment/>
    </xf>
    <xf numFmtId="14" fontId="0" fillId="6" borderId="0" xfId="0" applyNumberFormat="1" applyFill="1" applyAlignment="1" applyProtection="1">
      <alignment/>
      <protection hidden="1"/>
    </xf>
    <xf numFmtId="167" fontId="0" fillId="6" borderId="0" xfId="17" applyFill="1" applyBorder="1" applyAlignment="1" applyProtection="1">
      <alignment/>
      <protection hidden="1"/>
    </xf>
    <xf numFmtId="0" fontId="0" fillId="6" borderId="0" xfId="0" applyFill="1" applyAlignment="1" applyProtection="1">
      <alignment/>
      <protection hidden="1"/>
    </xf>
    <xf numFmtId="14" fontId="0" fillId="0" borderId="0" xfId="0" applyNumberFormat="1" applyFont="1" applyFill="1" applyAlignment="1" applyProtection="1">
      <alignment/>
      <protection hidden="1"/>
    </xf>
    <xf numFmtId="167" fontId="0" fillId="0" borderId="0" xfId="17" applyFont="1" applyFill="1" applyBorder="1" applyAlignment="1" applyProtection="1">
      <alignment/>
      <protection hidden="1"/>
    </xf>
    <xf numFmtId="168" fontId="0" fillId="0" borderId="14" xfId="21" applyNumberFormat="1" applyFont="1" applyFill="1" applyBorder="1" applyAlignment="1" applyProtection="1">
      <alignment/>
      <protection hidden="1"/>
    </xf>
    <xf numFmtId="0" fontId="0" fillId="6" borderId="0" xfId="0" applyFont="1" applyFill="1" applyAlignment="1" applyProtection="1">
      <alignment/>
      <protection hidden="1"/>
    </xf>
    <xf numFmtId="0" fontId="0" fillId="6" borderId="14" xfId="0" applyFill="1" applyBorder="1" applyAlignment="1" applyProtection="1">
      <alignment/>
      <protection hidden="1"/>
    </xf>
    <xf numFmtId="0" fontId="0" fillId="4" borderId="0" xfId="0" applyFont="1" applyFill="1" applyBorder="1" applyAlignment="1" applyProtection="1">
      <alignment/>
      <protection/>
    </xf>
    <xf numFmtId="0" fontId="0" fillId="0" borderId="0" xfId="0" applyFont="1" applyAlignment="1" applyProtection="1">
      <alignment/>
      <protection/>
    </xf>
    <xf numFmtId="168" fontId="27" fillId="3" borderId="5" xfId="21" applyNumberFormat="1" applyFont="1" applyFill="1" applyBorder="1" applyAlignment="1" applyProtection="1">
      <alignment horizontal="center"/>
      <protection/>
    </xf>
    <xf numFmtId="14" fontId="28" fillId="0" borderId="7" xfId="21" applyNumberFormat="1" applyFont="1" applyFill="1" applyBorder="1" applyAlignment="1" applyProtection="1">
      <alignment horizontal="center"/>
      <protection/>
    </xf>
    <xf numFmtId="178" fontId="28" fillId="0" borderId="6" xfId="21" applyNumberFormat="1" applyFont="1" applyFill="1" applyBorder="1" applyAlignment="1" applyProtection="1">
      <alignment horizontal="center"/>
      <protection/>
    </xf>
    <xf numFmtId="178" fontId="28" fillId="0" borderId="7" xfId="21" applyNumberFormat="1" applyFont="1" applyFill="1" applyBorder="1" applyAlignment="1" applyProtection="1">
      <alignment horizontal="center"/>
      <protection/>
    </xf>
    <xf numFmtId="0" fontId="0" fillId="0" borderId="0" xfId="0" applyFont="1" applyFill="1" applyAlignment="1" applyProtection="1">
      <alignment/>
      <protection/>
    </xf>
    <xf numFmtId="14" fontId="28" fillId="6" borderId="7" xfId="21" applyNumberFormat="1" applyFont="1" applyFill="1" applyBorder="1" applyAlignment="1" applyProtection="1">
      <alignment horizontal="center"/>
      <protection/>
    </xf>
    <xf numFmtId="178" fontId="28" fillId="6" borderId="7" xfId="21" applyNumberFormat="1" applyFont="1" applyFill="1" applyBorder="1" applyAlignment="1" applyProtection="1">
      <alignment horizontal="center"/>
      <protection/>
    </xf>
    <xf numFmtId="0" fontId="0" fillId="6" borderId="0" xfId="0" applyFont="1" applyFill="1" applyAlignment="1" applyProtection="1">
      <alignment/>
      <protection/>
    </xf>
    <xf numFmtId="178" fontId="0" fillId="0" borderId="0" xfId="0" applyNumberFormat="1" applyFont="1" applyFill="1" applyAlignment="1" applyProtection="1">
      <alignment/>
      <protection/>
    </xf>
    <xf numFmtId="14" fontId="28" fillId="0" borderId="8" xfId="21" applyNumberFormat="1" applyFont="1" applyFill="1" applyBorder="1" applyAlignment="1" applyProtection="1">
      <alignment horizontal="center"/>
      <protection/>
    </xf>
    <xf numFmtId="178" fontId="28" fillId="0" borderId="8" xfId="21" applyNumberFormat="1" applyFont="1" applyFill="1" applyBorder="1" applyAlignment="1" applyProtection="1">
      <alignment horizontal="center"/>
      <protection/>
    </xf>
    <xf numFmtId="182" fontId="0" fillId="0" borderId="0" xfId="0" applyNumberFormat="1" applyFont="1" applyAlignment="1" applyProtection="1">
      <alignment/>
      <protection/>
    </xf>
    <xf numFmtId="182" fontId="0" fillId="0" borderId="0" xfId="0" applyNumberFormat="1" applyFont="1" applyFill="1" applyAlignment="1" applyProtection="1">
      <alignment/>
      <protection/>
    </xf>
    <xf numFmtId="0" fontId="0" fillId="0" borderId="0" xfId="0" applyFont="1" applyAlignment="1" applyProtection="1">
      <alignment/>
      <protection/>
    </xf>
    <xf numFmtId="178" fontId="28" fillId="8" borderId="7" xfId="21" applyNumberFormat="1" applyFont="1" applyFill="1" applyBorder="1" applyAlignment="1" applyProtection="1">
      <alignment horizontal="center"/>
      <protection/>
    </xf>
    <xf numFmtId="178" fontId="28" fillId="8" borderId="8" xfId="21" applyNumberFormat="1" applyFont="1" applyFill="1" applyBorder="1" applyAlignment="1" applyProtection="1">
      <alignment horizontal="center"/>
      <protection/>
    </xf>
    <xf numFmtId="168" fontId="1" fillId="8" borderId="5" xfId="21" applyNumberFormat="1" applyFont="1" applyFill="1" applyBorder="1" applyAlignment="1" applyProtection="1">
      <alignment horizontal="center"/>
      <protection/>
    </xf>
    <xf numFmtId="178" fontId="5" fillId="4" borderId="29" xfId="0" applyNumberFormat="1" applyFont="1" applyFill="1" applyBorder="1" applyAlignment="1">
      <alignment horizontal="left" vertical="justify"/>
    </xf>
    <xf numFmtId="178" fontId="5" fillId="4" borderId="0" xfId="0" applyNumberFormat="1" applyFont="1" applyFill="1" applyBorder="1" applyAlignment="1">
      <alignment horizontal="left" vertical="justify"/>
    </xf>
    <xf numFmtId="178" fontId="5" fillId="4" borderId="18" xfId="0" applyNumberFormat="1" applyFont="1" applyFill="1" applyBorder="1" applyAlignment="1">
      <alignment horizontal="left" vertical="justify"/>
    </xf>
    <xf numFmtId="0" fontId="11" fillId="3" borderId="30" xfId="0" applyFont="1" applyFill="1" applyBorder="1" applyAlignment="1">
      <alignment horizontal="center"/>
    </xf>
    <xf numFmtId="0" fontId="11" fillId="3" borderId="9" xfId="0" applyFont="1" applyFill="1" applyBorder="1" applyAlignment="1">
      <alignment horizontal="center"/>
    </xf>
    <xf numFmtId="0" fontId="0" fillId="4" borderId="0" xfId="0" applyNumberFormat="1" applyFont="1" applyFill="1" applyAlignment="1">
      <alignment horizontal="justify" vertical="justify" wrapText="1"/>
    </xf>
    <xf numFmtId="0" fontId="11" fillId="3" borderId="11" xfId="0" applyFont="1" applyFill="1" applyBorder="1" applyAlignment="1">
      <alignment horizontal="left"/>
    </xf>
    <xf numFmtId="0" fontId="11" fillId="3" borderId="13" xfId="0" applyFont="1" applyFill="1" applyBorder="1" applyAlignment="1">
      <alignment horizontal="left"/>
    </xf>
    <xf numFmtId="0" fontId="17" fillId="4" borderId="0" xfId="0" applyFont="1" applyFill="1" applyBorder="1" applyAlignment="1">
      <alignment horizontal="center"/>
    </xf>
    <xf numFmtId="0" fontId="1" fillId="4" borderId="0" xfId="0" applyFont="1" applyFill="1" applyBorder="1" applyAlignment="1">
      <alignment horizontal="center"/>
    </xf>
    <xf numFmtId="0" fontId="15" fillId="4" borderId="0" xfId="0" applyFont="1" applyFill="1" applyAlignment="1">
      <alignment horizontal="center" vertical="center"/>
    </xf>
    <xf numFmtId="178" fontId="5" fillId="4" borderId="31" xfId="0" applyNumberFormat="1" applyFont="1" applyFill="1" applyBorder="1" applyAlignment="1">
      <alignment horizontal="left" vertical="justify"/>
    </xf>
    <xf numFmtId="178" fontId="5" fillId="4" borderId="20" xfId="0" applyNumberFormat="1" applyFont="1" applyFill="1" applyBorder="1" applyAlignment="1">
      <alignment horizontal="left" vertical="justify"/>
    </xf>
    <xf numFmtId="178" fontId="5" fillId="4" borderId="1" xfId="0" applyNumberFormat="1" applyFont="1" applyFill="1" applyBorder="1" applyAlignment="1">
      <alignment horizontal="left" vertical="justify"/>
    </xf>
    <xf numFmtId="0" fontId="27" fillId="3" borderId="30" xfId="0" applyFont="1" applyFill="1" applyBorder="1" applyAlignment="1" applyProtection="1">
      <alignment horizontal="center"/>
      <protection/>
    </xf>
    <xf numFmtId="0" fontId="27" fillId="3" borderId="10" xfId="0" applyFont="1" applyFill="1" applyBorder="1" applyAlignment="1" applyProtection="1">
      <alignment horizontal="center"/>
      <protection/>
    </xf>
    <xf numFmtId="0" fontId="1" fillId="8" borderId="30" xfId="0" applyFont="1" applyFill="1" applyBorder="1" applyAlignment="1" applyProtection="1">
      <alignment horizontal="center"/>
      <protection/>
    </xf>
    <xf numFmtId="0" fontId="1" fillId="8" borderId="10" xfId="0" applyFont="1" applyFill="1"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b/>
        <i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Tasa Nominales sin Efecto Impositivo</a:t>
            </a:r>
          </a:p>
        </c:rich>
      </c:tx>
      <c:layout/>
      <c:spPr>
        <a:noFill/>
        <a:ln>
          <a:noFill/>
        </a:ln>
      </c:spPr>
    </c:title>
    <c:plotArea>
      <c:layout>
        <c:manualLayout>
          <c:xMode val="edge"/>
          <c:yMode val="edge"/>
          <c:x val="0.0255"/>
          <c:y val="0.09775"/>
          <c:w val="0.9565"/>
          <c:h val="0.81325"/>
        </c:manualLayout>
      </c:layout>
      <c:scatterChart>
        <c:scatterStyle val="smoothMarker"/>
        <c:varyColors val="0"/>
        <c:ser>
          <c:idx val="0"/>
          <c:order val="0"/>
          <c:tx>
            <c:v>TES UVR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trendline>
            <c:trendlineType val="poly"/>
            <c:order val="4"/>
            <c:dispEq val="0"/>
            <c:dispRSqr val="0"/>
          </c:trendline>
          <c:xVal>
            <c:numRef>
              <c:f>'Tasas de Mercado'!$S$38:$S$46</c:f>
              <c:numCache>
                <c:ptCount val="9"/>
                <c:pt idx="0">
                  <c:v>0</c:v>
                </c:pt>
                <c:pt idx="1">
                  <c:v>0</c:v>
                </c:pt>
                <c:pt idx="2">
                  <c:v>0.1138888888888889</c:v>
                </c:pt>
                <c:pt idx="3">
                  <c:v>0.6027777777777777</c:v>
                </c:pt>
                <c:pt idx="4">
                  <c:v>2.941319444444445</c:v>
                </c:pt>
                <c:pt idx="5">
                  <c:v>3.642460317460317</c:v>
                </c:pt>
                <c:pt idx="6">
                  <c:v>4.07037037037037</c:v>
                </c:pt>
                <c:pt idx="7">
                  <c:v>4.398148148148148</c:v>
                </c:pt>
                <c:pt idx="8">
                  <c:v>6.438034188034188</c:v>
                </c:pt>
              </c:numCache>
            </c:numRef>
          </c:xVal>
          <c:yVal>
            <c:numRef>
              <c:f>'Tasas de Mercado'!$U$49:$U$57</c:f>
              <c:numCache/>
            </c:numRef>
          </c:yVal>
          <c:smooth val="1"/>
        </c:ser>
        <c:ser>
          <c:idx val="1"/>
          <c:order val="1"/>
          <c:tx>
            <c:v>TECH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FF00FF"/>
                </a:solidFill>
              </a:ln>
            </c:spPr>
          </c:marker>
          <c:xVal>
            <c:numRef>
              <c:f>'Tasas de Mercado'!$X$38:$X$39</c:f>
              <c:numCache/>
            </c:numRef>
          </c:xVal>
          <c:yVal>
            <c:numRef>
              <c:f>'Tasas de Mercado'!$W$38:$W$39</c:f>
              <c:numCache/>
            </c:numRef>
          </c:yVal>
          <c:smooth val="1"/>
        </c:ser>
        <c:axId val="56270615"/>
        <c:axId val="36673488"/>
      </c:scatterChart>
      <c:valAx>
        <c:axId val="56270615"/>
        <c:scaling>
          <c:orientation val="minMax"/>
        </c:scaling>
        <c:axPos val="b"/>
        <c:title>
          <c:tx>
            <c:rich>
              <a:bodyPr vert="horz" rot="0" anchor="ctr"/>
              <a:lstStyle/>
              <a:p>
                <a:pPr algn="ctr">
                  <a:defRPr/>
                </a:pPr>
                <a:r>
                  <a:rPr lang="en-US" cap="none" sz="825" b="0" i="0" u="none" baseline="0"/>
                  <a:t>Duración (Años)</a:t>
                </a:r>
              </a:p>
            </c:rich>
          </c:tx>
          <c:layout>
            <c:manualLayout>
              <c:xMode val="factor"/>
              <c:yMode val="factor"/>
              <c:x val="-0.01375"/>
              <c:y val="-0.0045"/>
            </c:manualLayout>
          </c:layout>
          <c:overlay val="0"/>
          <c:spPr>
            <a:noFill/>
            <a:ln>
              <a:noFill/>
            </a:ln>
          </c:spPr>
        </c:title>
        <c:delete val="0"/>
        <c:numFmt formatCode="0" sourceLinked="0"/>
        <c:majorTickMark val="out"/>
        <c:minorTickMark val="none"/>
        <c:tickLblPos val="nextTo"/>
        <c:crossAx val="36673488"/>
        <c:crosses val="autoZero"/>
        <c:crossBetween val="midCat"/>
        <c:dispUnits/>
      </c:valAx>
      <c:valAx>
        <c:axId val="36673488"/>
        <c:scaling>
          <c:orientation val="minMax"/>
        </c:scaling>
        <c:axPos val="l"/>
        <c:delete val="0"/>
        <c:numFmt formatCode="0%" sourceLinked="0"/>
        <c:majorTickMark val="out"/>
        <c:minorTickMark val="none"/>
        <c:tickLblPos val="nextTo"/>
        <c:crossAx val="56270615"/>
        <c:crosses val="autoZero"/>
        <c:crossBetween val="midCat"/>
        <c:dispUnits/>
      </c:valAx>
      <c:spPr>
        <a:noFill/>
        <a:ln>
          <a:noFill/>
        </a:ln>
      </c:spPr>
    </c:plotArea>
    <c:legend>
      <c:legendPos val="r"/>
      <c:layout>
        <c:manualLayout>
          <c:xMode val="edge"/>
          <c:yMode val="edge"/>
          <c:x val="0.4835"/>
          <c:y val="0.5445"/>
          <c:w val="0.5165"/>
          <c:h val="0.23025"/>
        </c:manualLayout>
      </c:layout>
      <c:overlay val="0"/>
      <c:spPr>
        <a:noFill/>
        <a:ln w="3175">
          <a:noFill/>
        </a:ln>
      </c:spPr>
    </c:legend>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Tasa Nominales con Efecto Impositivo</a:t>
            </a:r>
          </a:p>
        </c:rich>
      </c:tx>
      <c:layout/>
      <c:spPr>
        <a:noFill/>
        <a:ln>
          <a:noFill/>
        </a:ln>
      </c:spPr>
    </c:title>
    <c:plotArea>
      <c:layout>
        <c:manualLayout>
          <c:xMode val="edge"/>
          <c:yMode val="edge"/>
          <c:x val="0.02575"/>
          <c:y val="0.099"/>
          <c:w val="0.9565"/>
          <c:h val="0.82025"/>
        </c:manualLayout>
      </c:layout>
      <c:scatterChart>
        <c:scatterStyle val="smoothMarker"/>
        <c:varyColors val="0"/>
        <c:ser>
          <c:idx val="0"/>
          <c:order val="0"/>
          <c:tx>
            <c:v>TES UVR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trendline>
            <c:trendlineType val="poly"/>
            <c:order val="4"/>
            <c:dispEq val="0"/>
            <c:dispRSqr val="0"/>
          </c:trendline>
          <c:xVal>
            <c:numRef>
              <c:f>'Tasas de Mercado'!$S$38:$S$46</c:f>
              <c:numCache>
                <c:ptCount val="9"/>
                <c:pt idx="0">
                  <c:v>0</c:v>
                </c:pt>
                <c:pt idx="1">
                  <c:v>0</c:v>
                </c:pt>
                <c:pt idx="2">
                  <c:v>0.1138888888888889</c:v>
                </c:pt>
                <c:pt idx="3">
                  <c:v>0.6027777777777777</c:v>
                </c:pt>
                <c:pt idx="4">
                  <c:v>2.941319444444445</c:v>
                </c:pt>
                <c:pt idx="5">
                  <c:v>3.642460317460317</c:v>
                </c:pt>
                <c:pt idx="6">
                  <c:v>4.07037037037037</c:v>
                </c:pt>
                <c:pt idx="7">
                  <c:v>4.398148148148148</c:v>
                </c:pt>
                <c:pt idx="8">
                  <c:v>6.438034188034188</c:v>
                </c:pt>
              </c:numCache>
            </c:numRef>
          </c:xVal>
          <c:yVal>
            <c:numRef>
              <c:f>'Tasas de Mercado'!$U$59:$U$67</c:f>
              <c:numCache/>
            </c:numRef>
          </c:yVal>
          <c:smooth val="1"/>
        </c:ser>
        <c:ser>
          <c:idx val="1"/>
          <c:order val="1"/>
          <c:tx>
            <c:v>TECH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FF00FF"/>
                </a:solidFill>
              </a:ln>
            </c:spPr>
          </c:marker>
          <c:xVal>
            <c:numRef>
              <c:f>'Tasas de Mercado'!$X$38:$X$39</c:f>
              <c:numCache/>
            </c:numRef>
          </c:xVal>
          <c:yVal>
            <c:numRef>
              <c:f>'Tasas de Mercado'!$W$38:$W$39</c:f>
              <c:numCache/>
            </c:numRef>
          </c:yVal>
          <c:smooth val="1"/>
        </c:ser>
        <c:axId val="61625937"/>
        <c:axId val="17762522"/>
      </c:scatterChart>
      <c:valAx>
        <c:axId val="61625937"/>
        <c:scaling>
          <c:orientation val="minMax"/>
        </c:scaling>
        <c:axPos val="b"/>
        <c:title>
          <c:tx>
            <c:rich>
              <a:bodyPr vert="horz" rot="0" anchor="ctr"/>
              <a:lstStyle/>
              <a:p>
                <a:pPr algn="ctr">
                  <a:defRPr/>
                </a:pPr>
                <a:r>
                  <a:rPr lang="en-US"/>
                  <a:t>Duración (Años)</a:t>
                </a:r>
              </a:p>
            </c:rich>
          </c:tx>
          <c:layout>
            <c:manualLayout>
              <c:xMode val="factor"/>
              <c:yMode val="factor"/>
              <c:x val="-0.014"/>
              <c:y val="-0.01325"/>
            </c:manualLayout>
          </c:layout>
          <c:overlay val="0"/>
          <c:spPr>
            <a:noFill/>
            <a:ln>
              <a:noFill/>
            </a:ln>
          </c:spPr>
        </c:title>
        <c:delete val="0"/>
        <c:numFmt formatCode="0" sourceLinked="0"/>
        <c:majorTickMark val="out"/>
        <c:minorTickMark val="none"/>
        <c:tickLblPos val="nextTo"/>
        <c:crossAx val="17762522"/>
        <c:crosses val="autoZero"/>
        <c:crossBetween val="midCat"/>
        <c:dispUnits/>
      </c:valAx>
      <c:valAx>
        <c:axId val="17762522"/>
        <c:scaling>
          <c:orientation val="minMax"/>
        </c:scaling>
        <c:axPos val="l"/>
        <c:delete val="0"/>
        <c:numFmt formatCode="0%" sourceLinked="0"/>
        <c:majorTickMark val="out"/>
        <c:minorTickMark val="none"/>
        <c:tickLblPos val="nextTo"/>
        <c:crossAx val="61625937"/>
        <c:crosses val="autoZero"/>
        <c:crossBetween val="midCat"/>
        <c:dispUnits/>
      </c:valAx>
      <c:spPr>
        <a:noFill/>
        <a:ln>
          <a:noFill/>
        </a:ln>
      </c:spPr>
    </c:plotArea>
    <c:legend>
      <c:legendPos val="r"/>
      <c:layout>
        <c:manualLayout>
          <c:xMode val="edge"/>
          <c:yMode val="edge"/>
          <c:x val="0.54225"/>
          <c:y val="0.52375"/>
          <c:w val="0.45775"/>
          <c:h val="0.2645"/>
        </c:manualLayout>
      </c:layout>
      <c:overlay val="0"/>
      <c:spPr>
        <a:noFill/>
        <a:ln w="3175">
          <a:noFill/>
        </a:ln>
      </c:spPr>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Amortización de Capital</a:t>
            </a:r>
          </a:p>
        </c:rich>
      </c:tx>
      <c:layout/>
      <c:spPr>
        <a:noFill/>
        <a:ln>
          <a:noFill/>
        </a:ln>
      </c:spPr>
    </c:title>
    <c:plotArea>
      <c:layout>
        <c:manualLayout>
          <c:xMode val="edge"/>
          <c:yMode val="edge"/>
          <c:x val="0.04325"/>
          <c:y val="0.105"/>
          <c:w val="0.93475"/>
          <c:h val="0.7645"/>
        </c:manualLayout>
      </c:layout>
      <c:areaChart>
        <c:grouping val="stacked"/>
        <c:varyColors val="0"/>
        <c:ser>
          <c:idx val="0"/>
          <c:order val="0"/>
          <c:tx>
            <c:v>TECH 2009</c:v>
          </c:tx>
          <c:extLst>
            <c:ext xmlns:c14="http://schemas.microsoft.com/office/drawing/2007/8/2/chart" uri="{6F2FDCE9-48DA-4B69-8628-5D25D57E5C99}">
              <c14:invertSolidFillFmt>
                <c14:spPr>
                  <a:solidFill>
                    <a:srgbClr val="000000"/>
                  </a:solidFill>
                </c14:spPr>
              </c14:invertSolidFillFmt>
            </c:ext>
          </c:extLst>
          <c:val>
            <c:numRef>
              <c:f>'CALCULADORA TECH E-3'!$D$29:$D$112</c:f>
              <c:numCache>
                <c:ptCount val="84"/>
                <c:pt idx="0">
                  <c:v>0.08085749</c:v>
                </c:pt>
                <c:pt idx="1">
                  <c:v>0.08172564</c:v>
                </c:pt>
                <c:pt idx="2">
                  <c:v>0.11221385</c:v>
                </c:pt>
                <c:pt idx="3">
                  <c:v>0.11666071</c:v>
                </c:pt>
                <c:pt idx="4">
                  <c:v>0.1079034</c:v>
                </c:pt>
                <c:pt idx="5">
                  <c:v>0.16453517</c:v>
                </c:pt>
                <c:pt idx="6">
                  <c:v>0.12544124</c:v>
                </c:pt>
                <c:pt idx="7">
                  <c:v>0.12417954</c:v>
                </c:pt>
                <c:pt idx="8">
                  <c:v>0.08648296</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er>
        <c:ser>
          <c:idx val="1"/>
          <c:order val="1"/>
          <c:tx>
            <c:v>TECH 2011</c:v>
          </c:tx>
          <c:extLst>
            <c:ext xmlns:c14="http://schemas.microsoft.com/office/drawing/2007/8/2/chart" uri="{6F2FDCE9-48DA-4B69-8628-5D25D57E5C99}">
              <c14:invertSolidFillFmt>
                <c14:spPr>
                  <a:solidFill>
                    <a:srgbClr val="000000"/>
                  </a:solidFill>
                </c14:spPr>
              </c14:invertSolidFillFmt>
            </c:ext>
          </c:extLst>
          <c:val>
            <c:numRef>
              <c:f>'CALCULADORA TECH E-3'!$E$29:$E$112</c:f>
              <c:numCache>
                <c:ptCount val="84"/>
                <c:pt idx="0">
                  <c:v>0</c:v>
                </c:pt>
                <c:pt idx="1">
                  <c:v>0</c:v>
                </c:pt>
                <c:pt idx="2">
                  <c:v>0</c:v>
                </c:pt>
                <c:pt idx="3">
                  <c:v>0</c:v>
                </c:pt>
                <c:pt idx="4">
                  <c:v>0</c:v>
                </c:pt>
                <c:pt idx="5">
                  <c:v>0</c:v>
                </c:pt>
                <c:pt idx="6">
                  <c:v>0</c:v>
                </c:pt>
                <c:pt idx="7">
                  <c:v>0</c:v>
                </c:pt>
                <c:pt idx="8">
                  <c:v>0.14953061</c:v>
                </c:pt>
                <c:pt idx="9">
                  <c:v>0.12469036</c:v>
                </c:pt>
                <c:pt idx="10">
                  <c:v>0.14589588</c:v>
                </c:pt>
                <c:pt idx="11">
                  <c:v>0.12602953</c:v>
                </c:pt>
                <c:pt idx="12">
                  <c:v>0.10773726</c:v>
                </c:pt>
                <c:pt idx="13">
                  <c:v>0.09165127</c:v>
                </c:pt>
                <c:pt idx="14">
                  <c:v>0.08807158</c:v>
                </c:pt>
                <c:pt idx="15">
                  <c:v>0.06752771</c:v>
                </c:pt>
                <c:pt idx="16">
                  <c:v>0.03943122</c:v>
                </c:pt>
                <c:pt idx="17">
                  <c:v>0.05335454</c:v>
                </c:pt>
                <c:pt idx="18">
                  <c:v>0.00608004</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er>
        <c:axId val="25644971"/>
        <c:axId val="29478148"/>
      </c:areaChart>
      <c:catAx>
        <c:axId val="25644971"/>
        <c:scaling>
          <c:orientation val="minMax"/>
        </c:scaling>
        <c:axPos val="b"/>
        <c:title>
          <c:tx>
            <c:rich>
              <a:bodyPr vert="horz" rot="0" anchor="ctr"/>
              <a:lstStyle/>
              <a:p>
                <a:pPr algn="ctr">
                  <a:defRPr/>
                </a:pPr>
                <a:r>
                  <a:rPr lang="en-US" cap="none" sz="800" b="0" i="0" u="none" baseline="0"/>
                  <a:t>Meses</a:t>
                </a:r>
              </a:p>
            </c:rich>
          </c:tx>
          <c:layout>
            <c:manualLayout>
              <c:xMode val="factor"/>
              <c:yMode val="factor"/>
              <c:x val="-0.0095"/>
              <c:y val="-0.01175"/>
            </c:manualLayout>
          </c:layout>
          <c:overlay val="0"/>
          <c:spPr>
            <a:noFill/>
            <a:ln>
              <a:noFill/>
            </a:ln>
          </c:spPr>
        </c:title>
        <c:delete val="0"/>
        <c:numFmt formatCode="General" sourceLinked="1"/>
        <c:majorTickMark val="out"/>
        <c:minorTickMark val="none"/>
        <c:tickLblPos val="nextTo"/>
        <c:txPr>
          <a:bodyPr/>
          <a:lstStyle/>
          <a:p>
            <a:pPr>
              <a:defRPr lang="en-US" cap="none" sz="725" b="0" i="0" u="none" baseline="0"/>
            </a:pPr>
          </a:p>
        </c:txPr>
        <c:crossAx val="29478148"/>
        <c:crosses val="autoZero"/>
        <c:auto val="1"/>
        <c:lblOffset val="100"/>
        <c:noMultiLvlLbl val="0"/>
      </c:catAx>
      <c:valAx>
        <c:axId val="29478148"/>
        <c:scaling>
          <c:orientation val="minMax"/>
        </c:scaling>
        <c:axPos val="l"/>
        <c:title>
          <c:tx>
            <c:rich>
              <a:bodyPr vert="horz" rot="-5400000" anchor="ctr"/>
              <a:lstStyle/>
              <a:p>
                <a:pPr algn="ctr">
                  <a:defRPr/>
                </a:pPr>
                <a:r>
                  <a:rPr lang="en-US" cap="none" sz="800" b="0" i="0" u="none" baseline="0"/>
                  <a:t>UVR</a:t>
                </a:r>
              </a:p>
            </c:rich>
          </c:tx>
          <c:layout>
            <c:manualLayout>
              <c:xMode val="factor"/>
              <c:yMode val="factor"/>
              <c:x val="-0.00725"/>
              <c:y val="0.0045"/>
            </c:manualLayout>
          </c:layout>
          <c:overlay val="0"/>
          <c:spPr>
            <a:noFill/>
            <a:ln>
              <a:noFill/>
            </a:ln>
          </c:spPr>
        </c:title>
        <c:majorGridlines/>
        <c:delete val="0"/>
        <c:numFmt formatCode="0%" sourceLinked="0"/>
        <c:majorTickMark val="out"/>
        <c:minorTickMark val="none"/>
        <c:tickLblPos val="nextTo"/>
        <c:txPr>
          <a:bodyPr/>
          <a:lstStyle/>
          <a:p>
            <a:pPr>
              <a:defRPr lang="en-US" cap="none" sz="725" b="0" i="0" u="none" baseline="0"/>
            </a:pPr>
          </a:p>
        </c:txPr>
        <c:crossAx val="25644971"/>
        <c:crossesAt val="1"/>
        <c:crossBetween val="midCat"/>
        <c:dispUnits/>
      </c:valAx>
      <c:spPr>
        <a:noFill/>
        <a:ln>
          <a:noFill/>
        </a:ln>
      </c:spPr>
    </c:plotArea>
    <c:legend>
      <c:legendPos val="r"/>
      <c:layout>
        <c:manualLayout>
          <c:xMode val="edge"/>
          <c:yMode val="edge"/>
          <c:x val="0"/>
          <c:y val="0.862"/>
          <c:w val="0.22625"/>
          <c:h val="0.138"/>
        </c:manualLayout>
      </c:layout>
      <c:overlay val="0"/>
      <c:spPr>
        <a:noFill/>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5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3</xdr:row>
      <xdr:rowOff>28575</xdr:rowOff>
    </xdr:from>
    <xdr:to>
      <xdr:col>2</xdr:col>
      <xdr:colOff>1952625</xdr:colOff>
      <xdr:row>11</xdr:row>
      <xdr:rowOff>171450</xdr:rowOff>
    </xdr:to>
    <xdr:pic>
      <xdr:nvPicPr>
        <xdr:cNvPr id="1" name="Picture 8"/>
        <xdr:cNvPicPr preferRelativeResize="1">
          <a:picLocks noChangeAspect="1"/>
        </xdr:cNvPicPr>
      </xdr:nvPicPr>
      <xdr:blipFill>
        <a:blip r:embed="rId1"/>
        <a:stretch>
          <a:fillRect/>
        </a:stretch>
      </xdr:blipFill>
      <xdr:spPr>
        <a:xfrm>
          <a:off x="609600" y="1495425"/>
          <a:ext cx="1714500" cy="1809750"/>
        </a:xfrm>
        <a:prstGeom prst="rect">
          <a:avLst/>
        </a:prstGeom>
        <a:noFill/>
        <a:ln w="9525" cmpd="sng">
          <a:noFill/>
        </a:ln>
      </xdr:spPr>
    </xdr:pic>
    <xdr:clientData/>
  </xdr:twoCellAnchor>
  <xdr:twoCellAnchor>
    <xdr:from>
      <xdr:col>6</xdr:col>
      <xdr:colOff>790575</xdr:colOff>
      <xdr:row>29</xdr:row>
      <xdr:rowOff>142875</xdr:rowOff>
    </xdr:from>
    <xdr:to>
      <xdr:col>9</xdr:col>
      <xdr:colOff>285750</xdr:colOff>
      <xdr:row>45</xdr:row>
      <xdr:rowOff>66675</xdr:rowOff>
    </xdr:to>
    <xdr:sp>
      <xdr:nvSpPr>
        <xdr:cNvPr id="2" name="Rectangle 21"/>
        <xdr:cNvSpPr>
          <a:spLocks/>
        </xdr:cNvSpPr>
      </xdr:nvSpPr>
      <xdr:spPr>
        <a:xfrm>
          <a:off x="7086600" y="7000875"/>
          <a:ext cx="3200400" cy="297180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904875</xdr:colOff>
      <xdr:row>25</xdr:row>
      <xdr:rowOff>47625</xdr:rowOff>
    </xdr:from>
    <xdr:to>
      <xdr:col>9</xdr:col>
      <xdr:colOff>152400</xdr:colOff>
      <xdr:row>29</xdr:row>
      <xdr:rowOff>28575</xdr:rowOff>
    </xdr:to>
    <xdr:grpSp>
      <xdr:nvGrpSpPr>
        <xdr:cNvPr id="3" name="Group 62"/>
        <xdr:cNvGrpSpPr>
          <a:grpSpLocks/>
        </xdr:cNvGrpSpPr>
      </xdr:nvGrpSpPr>
      <xdr:grpSpPr>
        <a:xfrm>
          <a:off x="7200900" y="6096000"/>
          <a:ext cx="2952750" cy="790575"/>
          <a:chOff x="817" y="514"/>
          <a:chExt cx="321" cy="84"/>
        </a:xfrm>
        <a:solidFill>
          <a:srgbClr val="FFFFFF"/>
        </a:solidFill>
      </xdr:grpSpPr>
      <xdr:sp macro="[0]!buscerobjetivo">
        <xdr:nvSpPr>
          <xdr:cNvPr id="5" name="TextBox 50"/>
          <xdr:cNvSpPr txBox="1">
            <a:spLocks noChangeArrowheads="1"/>
          </xdr:cNvSpPr>
        </xdr:nvSpPr>
        <xdr:spPr>
          <a:xfrm>
            <a:off x="830" y="526"/>
            <a:ext cx="299" cy="62"/>
          </a:xfrm>
          <a:prstGeom prst="rect">
            <a:avLst/>
          </a:prstGeom>
          <a:noFill/>
          <a:ln w="9525" cmpd="sng">
            <a:noFill/>
          </a:ln>
        </xdr:spPr>
        <xdr:txBody>
          <a:bodyPr vertOverflow="clip" wrap="square"/>
          <a:p>
            <a:pPr algn="ctr">
              <a:defRPr/>
            </a:pPr>
            <a:r>
              <a:rPr lang="en-US" cap="none" sz="1100" b="1" i="0" u="none" baseline="0">
                <a:latin typeface="Arial"/>
                <a:ea typeface="Arial"/>
                <a:cs typeface="Arial"/>
              </a:rPr>
              <a:t>Calcular TIR desde Precio Sucio y Flujos en Escenarios (Con y Sin Prepagos)</a:t>
            </a:r>
          </a:p>
        </xdr:txBody>
      </xdr:sp>
    </xdr:grpSp>
    <xdr:clientData/>
  </xdr:twoCellAnchor>
  <xdr:twoCellAnchor>
    <xdr:from>
      <xdr:col>5</xdr:col>
      <xdr:colOff>0</xdr:colOff>
      <xdr:row>23</xdr:row>
      <xdr:rowOff>200025</xdr:rowOff>
    </xdr:from>
    <xdr:to>
      <xdr:col>6</xdr:col>
      <xdr:colOff>904875</xdr:colOff>
      <xdr:row>27</xdr:row>
      <xdr:rowOff>38100</xdr:rowOff>
    </xdr:to>
    <xdr:sp>
      <xdr:nvSpPr>
        <xdr:cNvPr id="6" name="AutoShape 64"/>
        <xdr:cNvSpPr>
          <a:spLocks/>
        </xdr:cNvSpPr>
      </xdr:nvSpPr>
      <xdr:spPr>
        <a:xfrm flipH="1" flipV="1">
          <a:off x="6143625" y="5819775"/>
          <a:ext cx="1057275" cy="676275"/>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200025</xdr:rowOff>
    </xdr:from>
    <xdr:to>
      <xdr:col>9</xdr:col>
      <xdr:colOff>342900</xdr:colOff>
      <xdr:row>33</xdr:row>
      <xdr:rowOff>123825</xdr:rowOff>
    </xdr:to>
    <xdr:sp>
      <xdr:nvSpPr>
        <xdr:cNvPr id="7" name="AutoShape 66"/>
        <xdr:cNvSpPr>
          <a:spLocks/>
        </xdr:cNvSpPr>
      </xdr:nvSpPr>
      <xdr:spPr>
        <a:xfrm>
          <a:off x="10296525" y="6657975"/>
          <a:ext cx="47625" cy="1085850"/>
        </a:xfrm>
        <a:prstGeom prst="curvedConnector3">
          <a:avLst>
            <a:gd name="adj1" fmla="val 530000"/>
            <a:gd name="adj2" fmla="val -547370"/>
            <a:gd name="adj3" fmla="val -22070000"/>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1285875</xdr:colOff>
      <xdr:row>43</xdr:row>
      <xdr:rowOff>28575</xdr:rowOff>
    </xdr:from>
    <xdr:to>
      <xdr:col>8</xdr:col>
      <xdr:colOff>304800</xdr:colOff>
      <xdr:row>44</xdr:row>
      <xdr:rowOff>76200</xdr:rowOff>
    </xdr:to>
    <xdr:sp>
      <xdr:nvSpPr>
        <xdr:cNvPr id="8" name="TextBox 68"/>
        <xdr:cNvSpPr txBox="1">
          <a:spLocks noChangeArrowheads="1"/>
        </xdr:cNvSpPr>
      </xdr:nvSpPr>
      <xdr:spPr>
        <a:xfrm>
          <a:off x="7581900" y="9553575"/>
          <a:ext cx="2162175" cy="2381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Nivel Alto - Esperado</a:t>
          </a:r>
        </a:p>
      </xdr:txBody>
    </xdr:sp>
    <xdr:clientData/>
  </xdr:twoCellAnchor>
  <xdr:twoCellAnchor>
    <xdr:from>
      <xdr:col>6</xdr:col>
      <xdr:colOff>895350</xdr:colOff>
      <xdr:row>29</xdr:row>
      <xdr:rowOff>142875</xdr:rowOff>
    </xdr:from>
    <xdr:to>
      <xdr:col>9</xdr:col>
      <xdr:colOff>219075</xdr:colOff>
      <xdr:row>44</xdr:row>
      <xdr:rowOff>152400</xdr:rowOff>
    </xdr:to>
    <xdr:grpSp>
      <xdr:nvGrpSpPr>
        <xdr:cNvPr id="9" name="Group 73"/>
        <xdr:cNvGrpSpPr>
          <a:grpSpLocks/>
        </xdr:cNvGrpSpPr>
      </xdr:nvGrpSpPr>
      <xdr:grpSpPr>
        <a:xfrm>
          <a:off x="7191375" y="7000875"/>
          <a:ext cx="3028950" cy="2867025"/>
          <a:chOff x="843" y="738"/>
          <a:chExt cx="318" cy="301"/>
        </a:xfrm>
        <a:solidFill>
          <a:srgbClr val="FFFFFF"/>
        </a:solidFill>
      </xdr:grpSpPr>
      <xdr:sp>
        <xdr:nvSpPr>
          <xdr:cNvPr id="16" name="TextBox 27"/>
          <xdr:cNvSpPr txBox="1">
            <a:spLocks noChangeArrowheads="1"/>
          </xdr:cNvSpPr>
        </xdr:nvSpPr>
        <xdr:spPr>
          <a:xfrm>
            <a:off x="843" y="738"/>
            <a:ext cx="318" cy="24"/>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Escenarios de Amortización de Capital*
</a:t>
            </a:r>
          </a:p>
        </xdr:txBody>
      </xdr:sp>
      <xdr:sp>
        <xdr:nvSpPr>
          <xdr:cNvPr id="17" name="TextBox 43"/>
          <xdr:cNvSpPr txBox="1">
            <a:spLocks noChangeArrowheads="1"/>
          </xdr:cNvSpPr>
        </xdr:nvSpPr>
        <xdr:spPr>
          <a:xfrm>
            <a:off x="885" y="771"/>
            <a:ext cx="227" cy="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Flujo Contractual  (Sin prepagos)</a:t>
            </a:r>
          </a:p>
        </xdr:txBody>
      </xdr:sp>
      <xdr:sp>
        <xdr:nvSpPr>
          <xdr:cNvPr id="18" name="TextBox 44"/>
          <xdr:cNvSpPr txBox="1">
            <a:spLocks noChangeArrowheads="1"/>
          </xdr:cNvSpPr>
        </xdr:nvSpPr>
        <xdr:spPr>
          <a:xfrm>
            <a:off x="885" y="807"/>
            <a:ext cx="227" cy="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Flujo de Valoración</a:t>
            </a:r>
          </a:p>
        </xdr:txBody>
      </xdr:sp>
      <xdr:sp>
        <xdr:nvSpPr>
          <xdr:cNvPr id="19" name="TextBox 45"/>
          <xdr:cNvSpPr txBox="1">
            <a:spLocks noChangeArrowheads="1"/>
          </xdr:cNvSpPr>
        </xdr:nvSpPr>
        <xdr:spPr>
          <a:xfrm>
            <a:off x="885" y="847"/>
            <a:ext cx="227" cy="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Nivel Bajo</a:t>
            </a:r>
          </a:p>
        </xdr:txBody>
      </xdr:sp>
      <xdr:sp>
        <xdr:nvSpPr>
          <xdr:cNvPr id="20" name="TextBox 46"/>
          <xdr:cNvSpPr txBox="1">
            <a:spLocks noChangeArrowheads="1"/>
          </xdr:cNvSpPr>
        </xdr:nvSpPr>
        <xdr:spPr>
          <a:xfrm>
            <a:off x="883" y="884"/>
            <a:ext cx="227" cy="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Nivel Medio - Bajo</a:t>
            </a:r>
          </a:p>
        </xdr:txBody>
      </xdr:sp>
      <xdr:sp>
        <xdr:nvSpPr>
          <xdr:cNvPr id="21" name="TextBox 47"/>
          <xdr:cNvSpPr txBox="1">
            <a:spLocks noChangeArrowheads="1"/>
          </xdr:cNvSpPr>
        </xdr:nvSpPr>
        <xdr:spPr>
          <a:xfrm>
            <a:off x="883" y="922"/>
            <a:ext cx="227" cy="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Nivel Medio </a:t>
            </a:r>
          </a:p>
        </xdr:txBody>
      </xdr:sp>
      <xdr:sp>
        <xdr:nvSpPr>
          <xdr:cNvPr id="22" name="TextBox 48"/>
          <xdr:cNvSpPr txBox="1">
            <a:spLocks noChangeArrowheads="1"/>
          </xdr:cNvSpPr>
        </xdr:nvSpPr>
        <xdr:spPr>
          <a:xfrm>
            <a:off x="883" y="963"/>
            <a:ext cx="227" cy="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Nivel Medio - Alto</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514350</xdr:colOff>
      <xdr:row>16</xdr:row>
      <xdr:rowOff>114300</xdr:rowOff>
    </xdr:from>
    <xdr:to>
      <xdr:col>13</xdr:col>
      <xdr:colOff>514350</xdr:colOff>
      <xdr:row>30</xdr:row>
      <xdr:rowOff>133350</xdr:rowOff>
    </xdr:to>
    <xdr:graphicFrame>
      <xdr:nvGraphicFramePr>
        <xdr:cNvPr id="1" name="Chart 2"/>
        <xdr:cNvGraphicFramePr/>
      </xdr:nvGraphicFramePr>
      <xdr:xfrm>
        <a:off x="4572000" y="2628900"/>
        <a:ext cx="3810000" cy="2286000"/>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285750</xdr:colOff>
      <xdr:row>16</xdr:row>
      <xdr:rowOff>95250</xdr:rowOff>
    </xdr:from>
    <xdr:to>
      <xdr:col>8</xdr:col>
      <xdr:colOff>180975</xdr:colOff>
      <xdr:row>30</xdr:row>
      <xdr:rowOff>104775</xdr:rowOff>
    </xdr:to>
    <xdr:graphicFrame>
      <xdr:nvGraphicFramePr>
        <xdr:cNvPr id="2" name="Chart 3"/>
        <xdr:cNvGraphicFramePr/>
      </xdr:nvGraphicFramePr>
      <xdr:xfrm>
        <a:off x="438150" y="2609850"/>
        <a:ext cx="3800475" cy="2276475"/>
      </xdr:xfrm>
      <a:graphic>
        <a:graphicData uri="http://schemas.openxmlformats.org/drawingml/2006/chart">
          <c:chart xmlns:c="http://schemas.openxmlformats.org/drawingml/2006/chart" r:id="rId2"/>
        </a:graphicData>
      </a:graphic>
    </xdr:graphicFrame>
    <xdr:clientData/>
  </xdr:twoCellAnchor>
  <xdr:twoCellAnchor>
    <xdr:from>
      <xdr:col>8</xdr:col>
      <xdr:colOff>504825</xdr:colOff>
      <xdr:row>1</xdr:row>
      <xdr:rowOff>152400</xdr:rowOff>
    </xdr:from>
    <xdr:to>
      <xdr:col>13</xdr:col>
      <xdr:colOff>533400</xdr:colOff>
      <xdr:row>15</xdr:row>
      <xdr:rowOff>133350</xdr:rowOff>
    </xdr:to>
    <xdr:graphicFrame>
      <xdr:nvGraphicFramePr>
        <xdr:cNvPr id="3" name="Chart 16"/>
        <xdr:cNvGraphicFramePr/>
      </xdr:nvGraphicFramePr>
      <xdr:xfrm>
        <a:off x="4562475" y="314325"/>
        <a:ext cx="3838575" cy="21717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pageSetUpPr fitToPage="1"/>
  </sheetPr>
  <dimension ref="A1:L115"/>
  <sheetViews>
    <sheetView showGridLines="0" tabSelected="1" zoomScale="65" zoomScaleNormal="65" workbookViewId="0" topLeftCell="A3">
      <selection activeCell="H27" sqref="H27"/>
    </sheetView>
  </sheetViews>
  <sheetFormatPr defaultColWidth="11.421875" defaultRowHeight="12.75"/>
  <cols>
    <col min="1" max="1" width="3.140625" style="21" customWidth="1"/>
    <col min="2" max="2" width="2.421875" style="21" customWidth="1"/>
    <col min="3" max="3" width="47.7109375" style="21" customWidth="1"/>
    <col min="4" max="5" width="19.421875" style="21" customWidth="1"/>
    <col min="6" max="6" width="2.28125" style="21" customWidth="1"/>
    <col min="7" max="7" width="38.140625" style="21" customWidth="1"/>
    <col min="8" max="8" width="9.00390625" style="21" bestFit="1" customWidth="1"/>
    <col min="9" max="9" width="8.421875" style="21" customWidth="1"/>
    <col min="10" max="10" width="13.00390625" style="21" customWidth="1"/>
    <col min="11" max="11" width="3.00390625" style="21" customWidth="1"/>
    <col min="12" max="12" width="3.421875" style="21" customWidth="1"/>
    <col min="13" max="16384" width="11.421875" style="21" customWidth="1"/>
  </cols>
  <sheetData>
    <row r="1" spans="1:11" ht="87.75" customHeight="1">
      <c r="A1" s="208" t="s">
        <v>29</v>
      </c>
      <c r="B1" s="208"/>
      <c r="C1" s="208"/>
      <c r="D1" s="208"/>
      <c r="E1" s="208"/>
      <c r="F1" s="208"/>
      <c r="G1" s="208"/>
      <c r="H1" s="208"/>
      <c r="I1" s="208"/>
      <c r="J1" s="208"/>
      <c r="K1" s="208"/>
    </row>
    <row r="3" spans="1:12" ht="15">
      <c r="A3" s="19"/>
      <c r="B3" s="20"/>
      <c r="C3" s="20"/>
      <c r="D3" s="20"/>
      <c r="E3" s="20"/>
      <c r="F3" s="20"/>
      <c r="G3" s="20"/>
      <c r="H3" s="20"/>
      <c r="I3" s="20"/>
      <c r="J3" s="20"/>
      <c r="K3" s="20"/>
      <c r="L3" s="20"/>
    </row>
    <row r="4" spans="1:12" ht="23.25" customHeight="1">
      <c r="A4" s="19"/>
      <c r="B4" s="81"/>
      <c r="C4" s="213" t="s">
        <v>92</v>
      </c>
      <c r="D4" s="213"/>
      <c r="E4" s="213"/>
      <c r="F4" s="213"/>
      <c r="G4" s="213"/>
      <c r="H4" s="213"/>
      <c r="I4" s="213"/>
      <c r="J4" s="213"/>
      <c r="K4" s="81"/>
      <c r="L4" s="83"/>
    </row>
    <row r="5" spans="1:12" ht="12.75" customHeight="1">
      <c r="A5" s="19"/>
      <c r="B5" s="81"/>
      <c r="C5" s="212"/>
      <c r="D5" s="212"/>
      <c r="E5" s="212"/>
      <c r="F5" s="212"/>
      <c r="G5" s="212"/>
      <c r="H5" s="81"/>
      <c r="I5" s="81"/>
      <c r="J5" s="81"/>
      <c r="K5" s="81"/>
      <c r="L5" s="83"/>
    </row>
    <row r="6" spans="1:12" s="23" customFormat="1" ht="16.5" thickBot="1">
      <c r="A6" s="22"/>
      <c r="D6" s="211"/>
      <c r="E6" s="211"/>
      <c r="F6" s="211"/>
      <c r="G6" s="80"/>
      <c r="L6" s="22"/>
    </row>
    <row r="7" spans="1:12" s="23" customFormat="1" ht="15.75">
      <c r="A7" s="22"/>
      <c r="D7" s="209" t="s">
        <v>35</v>
      </c>
      <c r="E7" s="210"/>
      <c r="F7" s="95"/>
      <c r="G7" s="92">
        <v>38701</v>
      </c>
      <c r="L7" s="22"/>
    </row>
    <row r="8" spans="1:12" s="23" customFormat="1" ht="15.75">
      <c r="A8" s="22"/>
      <c r="D8" s="97" t="s">
        <v>36</v>
      </c>
      <c r="E8" s="98"/>
      <c r="G8" s="93">
        <v>39248</v>
      </c>
      <c r="L8" s="22"/>
    </row>
    <row r="9" spans="1:12" s="23" customFormat="1" ht="16.5" thickBot="1">
      <c r="A9" s="22"/>
      <c r="D9" s="99" t="s">
        <v>37</v>
      </c>
      <c r="E9" s="100"/>
      <c r="F9" s="96"/>
      <c r="G9" s="94">
        <f>IF(G8&lt;37409,37378,VLOOKUP(G8,'Flujos Mensuales'!A7:A91,1,1))</f>
        <v>39248</v>
      </c>
      <c r="L9" s="22"/>
    </row>
    <row r="10" spans="1:12" s="23" customFormat="1" ht="15.75">
      <c r="A10" s="22"/>
      <c r="D10" s="48" t="s">
        <v>21</v>
      </c>
      <c r="E10" s="24"/>
      <c r="F10" s="21"/>
      <c r="L10" s="22"/>
    </row>
    <row r="11" spans="1:12" s="23" customFormat="1" ht="15">
      <c r="A11" s="22"/>
      <c r="F11" s="21"/>
      <c r="L11" s="22"/>
    </row>
    <row r="12" spans="1:12" s="23" customFormat="1" ht="15.75" thickBot="1">
      <c r="A12" s="22"/>
      <c r="D12" s="37"/>
      <c r="E12" s="37"/>
      <c r="F12" s="21"/>
      <c r="L12" s="22"/>
    </row>
    <row r="13" spans="1:12" s="23" customFormat="1" ht="16.5" thickBot="1">
      <c r="A13" s="22"/>
      <c r="C13" s="45" t="s">
        <v>25</v>
      </c>
      <c r="D13" s="43" t="s">
        <v>88</v>
      </c>
      <c r="E13" s="43" t="s">
        <v>89</v>
      </c>
      <c r="G13" s="131" t="s">
        <v>74</v>
      </c>
      <c r="H13" s="47" t="s">
        <v>12</v>
      </c>
      <c r="I13" s="44" t="s">
        <v>13</v>
      </c>
      <c r="L13" s="22"/>
    </row>
    <row r="14" spans="1:12" s="23" customFormat="1" ht="15.75">
      <c r="A14" s="22"/>
      <c r="C14" s="40" t="s">
        <v>23</v>
      </c>
      <c r="D14" s="173">
        <v>0.0012</v>
      </c>
      <c r="E14" s="173">
        <v>0.007</v>
      </c>
      <c r="G14" s="46" t="s">
        <v>88</v>
      </c>
      <c r="H14" s="25"/>
      <c r="I14" s="26"/>
      <c r="L14" s="22"/>
    </row>
    <row r="15" spans="1:12" s="23" customFormat="1" ht="16.5" thickBot="1">
      <c r="A15" s="22"/>
      <c r="C15" s="41" t="s">
        <v>24</v>
      </c>
      <c r="D15" s="174">
        <f>ROUND((POWER(1+D$14,1/12)-1),6)</f>
        <v>0.0001</v>
      </c>
      <c r="E15" s="174">
        <f>ROUND((POWER(1+E$14,1/12)-1),6)</f>
        <v>0.000581</v>
      </c>
      <c r="G15" s="148" t="s">
        <v>89</v>
      </c>
      <c r="H15" s="91">
        <f>+'Flujos Mensuales'!M96</f>
        <v>1</v>
      </c>
      <c r="I15" s="28">
        <f>+H15/12</f>
        <v>0.08333333333333333</v>
      </c>
      <c r="L15" s="22"/>
    </row>
    <row r="16" spans="1:12" s="23" customFormat="1" ht="16.5" thickBot="1">
      <c r="A16" s="22"/>
      <c r="C16" s="41" t="s">
        <v>39</v>
      </c>
      <c r="D16" s="174">
        <f>ROUND((POWER(1+D$14,1/4)-1),6)</f>
        <v>0.0003</v>
      </c>
      <c r="E16" s="174">
        <f>ROUND((POWER(1+E$14,1/4)-1),6)</f>
        <v>0.001745</v>
      </c>
      <c r="G16" s="131" t="s">
        <v>80</v>
      </c>
      <c r="H16" s="47" t="s">
        <v>12</v>
      </c>
      <c r="I16" s="44" t="s">
        <v>13</v>
      </c>
      <c r="L16" s="22"/>
    </row>
    <row r="17" spans="1:12" s="23" customFormat="1" ht="15.75">
      <c r="A17" s="22"/>
      <c r="C17" s="41" t="s">
        <v>40</v>
      </c>
      <c r="D17" s="174">
        <f>D15*12</f>
        <v>0.0012000000000000001</v>
      </c>
      <c r="E17" s="174">
        <f>E15*12</f>
        <v>0.006972000000000001</v>
      </c>
      <c r="G17" s="46" t="s">
        <v>88</v>
      </c>
      <c r="H17" s="25">
        <f>+'Flujos Mensuales'!C95</f>
        <v>5.22419282</v>
      </c>
      <c r="I17" s="26">
        <f>+H17/12</f>
        <v>0.43534940166666664</v>
      </c>
      <c r="L17" s="22"/>
    </row>
    <row r="18" spans="1:12" s="23" customFormat="1" ht="16.5" thickBot="1">
      <c r="A18" s="22"/>
      <c r="C18" s="42" t="s">
        <v>38</v>
      </c>
      <c r="D18" s="175">
        <f>D16*4</f>
        <v>0.0012</v>
      </c>
      <c r="E18" s="175">
        <f>E16*4</f>
        <v>0.00698</v>
      </c>
      <c r="G18" s="148" t="s">
        <v>89</v>
      </c>
      <c r="H18" s="91">
        <f>+'Flujos Mensuales'!M95</f>
        <v>12.541340570000001</v>
      </c>
      <c r="I18" s="28">
        <f>+H18/12</f>
        <v>1.0451117141666668</v>
      </c>
      <c r="L18" s="22"/>
    </row>
    <row r="19" spans="1:12" s="23" customFormat="1" ht="16.5" thickBot="1">
      <c r="A19" s="22"/>
      <c r="D19" s="37"/>
      <c r="F19" s="29"/>
      <c r="G19" s="149" t="s">
        <v>81</v>
      </c>
      <c r="H19" s="146" t="s">
        <v>12</v>
      </c>
      <c r="I19" s="147" t="s">
        <v>13</v>
      </c>
      <c r="L19" s="22"/>
    </row>
    <row r="20" spans="1:12" s="31" customFormat="1" ht="16.5" thickBot="1">
      <c r="A20" s="30"/>
      <c r="C20" s="45" t="s">
        <v>22</v>
      </c>
      <c r="D20" s="43" t="s">
        <v>88</v>
      </c>
      <c r="E20" s="43" t="s">
        <v>89</v>
      </c>
      <c r="F20" s="33"/>
      <c r="G20" s="46" t="s">
        <v>88</v>
      </c>
      <c r="H20" s="25"/>
      <c r="I20" s="26"/>
      <c r="L20" s="30"/>
    </row>
    <row r="21" spans="1:12" s="23" customFormat="1" ht="16.5" thickBot="1">
      <c r="A21" s="22"/>
      <c r="C21" s="40" t="s">
        <v>23</v>
      </c>
      <c r="D21" s="82">
        <v>0.0012</v>
      </c>
      <c r="E21" s="32">
        <v>0.007</v>
      </c>
      <c r="F21" s="34"/>
      <c r="G21" s="148" t="s">
        <v>89</v>
      </c>
      <c r="H21" s="25">
        <f>+I21*12</f>
        <v>1</v>
      </c>
      <c r="I21" s="27">
        <f>+'Flujos Mensuales'!U95</f>
        <v>0.08333333333333333</v>
      </c>
      <c r="L21" s="22"/>
    </row>
    <row r="22" spans="1:12" s="23" customFormat="1" ht="16.5" thickBot="1">
      <c r="A22" s="22"/>
      <c r="C22" s="67" t="s">
        <v>28</v>
      </c>
      <c r="D22" s="79">
        <f>ROUND('Flujos Mensuales'!I94,3)</f>
        <v>0</v>
      </c>
      <c r="E22" s="49">
        <f>ROUND('Flujos Mensuales'!S94,3)</f>
        <v>0.608</v>
      </c>
      <c r="G22" s="131" t="s">
        <v>47</v>
      </c>
      <c r="H22" s="47" t="s">
        <v>12</v>
      </c>
      <c r="I22" s="44" t="s">
        <v>13</v>
      </c>
      <c r="L22" s="22"/>
    </row>
    <row r="23" spans="1:12" s="23" customFormat="1" ht="16.5" thickBot="1">
      <c r="A23" s="22"/>
      <c r="C23" s="67" t="s">
        <v>43</v>
      </c>
      <c r="D23" s="79">
        <f>'Flujos Mensuales'!I94/'Flujos Mensuales'!D15*100</f>
        <v>0</v>
      </c>
      <c r="E23" s="49">
        <f>+'Flujos Mensuales'!S94/'Flujos Mensuales'!N25*100</f>
        <v>99.99995301402686</v>
      </c>
      <c r="G23" s="46" t="s">
        <v>88</v>
      </c>
      <c r="H23" s="25"/>
      <c r="I23" s="26"/>
      <c r="L23" s="22"/>
    </row>
    <row r="24" spans="1:12" s="23" customFormat="1" ht="18.75" customHeight="1" thickBot="1">
      <c r="A24" s="22"/>
      <c r="D24" s="66">
        <v>100</v>
      </c>
      <c r="E24" s="66">
        <v>100</v>
      </c>
      <c r="G24" s="148" t="s">
        <v>89</v>
      </c>
      <c r="H24" s="91">
        <f>+I24*12</f>
        <v>0.99304865938431</v>
      </c>
      <c r="I24" s="28">
        <f>+'Flujos Mensuales'!U96</f>
        <v>0.0827540549486925</v>
      </c>
      <c r="L24" s="22"/>
    </row>
    <row r="25" spans="1:12" s="23" customFormat="1" ht="15">
      <c r="A25" s="22"/>
      <c r="L25" s="22"/>
    </row>
    <row r="26" spans="1:12" ht="15.75" thickBot="1">
      <c r="A26" s="19"/>
      <c r="C26" s="23"/>
      <c r="D26" s="90"/>
      <c r="E26" s="84"/>
      <c r="L26" s="19"/>
    </row>
    <row r="27" spans="1:12" ht="16.5" thickBot="1">
      <c r="A27" s="19"/>
      <c r="C27" s="23"/>
      <c r="D27" s="206" t="s">
        <v>41</v>
      </c>
      <c r="E27" s="207"/>
      <c r="F27" s="35"/>
      <c r="J27" s="23"/>
      <c r="K27" s="23"/>
      <c r="L27" s="19"/>
    </row>
    <row r="28" spans="1:12" ht="16.5" thickBot="1">
      <c r="A28" s="19"/>
      <c r="C28" s="65" t="s">
        <v>11</v>
      </c>
      <c r="D28" s="172" t="s">
        <v>88</v>
      </c>
      <c r="E28" s="43" t="s">
        <v>89</v>
      </c>
      <c r="G28" s="36"/>
      <c r="H28" s="36"/>
      <c r="I28" s="36"/>
      <c r="J28" s="36"/>
      <c r="K28" s="23"/>
      <c r="L28" s="19"/>
    </row>
    <row r="29" spans="1:12" ht="15">
      <c r="A29" s="19"/>
      <c r="C29" s="169">
        <f>_XLL.FECHA.MES(G7,1)</f>
        <v>38732</v>
      </c>
      <c r="D29" s="53">
        <f>IF($G$33=1,ROUND('Tabla de Amortizacion'!B3,8),IF($G$33=2,ROUND('Tabla de Amortizacion'!E3,8),IF($G$33=3,ROUND('Tabla de Amortizacion'!H3,8),IF($G$33=4,ROUND('Tabla de Amortizacion'!K3,8),IF($G$33=5,ROUND('Tabla de Amortizacion'!N3,8),IF($G$33=6,ROUND('Tabla de Amortizacion'!Q3,8),ROUND('Tabla de Amortizacion'!T3,8)))))))</f>
        <v>0.08085749</v>
      </c>
      <c r="E29" s="53">
        <f>IF($G$33=1,ROUND('Tabla de Amortizacion'!C3,8),IF($G$33=2,ROUND('Tabla de Amortizacion'!F3,8),IF($G$33=3,ROUND('Tabla de Amortizacion'!I3,8),IF($G$33=4,ROUND('Tabla de Amortizacion'!L3,8),IF($G$33=5,ROUND('Tabla de Amortizacion'!O3,8),IF($G$33=6,ROUND('Tabla de Amortizacion'!R3,8),ROUND('Tabla de Amortizacion'!U3,8)))))))</f>
        <v>0</v>
      </c>
      <c r="G29" s="36"/>
      <c r="H29" s="36"/>
      <c r="I29" s="36"/>
      <c r="J29" s="36"/>
      <c r="K29" s="23"/>
      <c r="L29" s="19"/>
    </row>
    <row r="30" spans="1:12" ht="15">
      <c r="A30" s="19"/>
      <c r="C30" s="170">
        <f>_XLL.FECHA.MES(C29,1)</f>
        <v>38763</v>
      </c>
      <c r="D30" s="51">
        <f>IF($G$33=1,ROUND('Tabla de Amortizacion'!B4,8),IF($G$33=2,ROUND('Tabla de Amortizacion'!E4,8),IF($G$33=3,ROUND('Tabla de Amortizacion'!H4,8),IF($G$33=4,ROUND('Tabla de Amortizacion'!K4,8),IF($G$33=5,ROUND('Tabla de Amortizacion'!N4,8),IF($G$33=6,ROUND('Tabla de Amortizacion'!Q4,8),ROUND('Tabla de Amortizacion'!T4,8)))))))</f>
        <v>0.08172564</v>
      </c>
      <c r="E30" s="51">
        <f>IF($G$33=1,ROUND('Tabla de Amortizacion'!C4,8),IF($G$33=2,ROUND('Tabla de Amortizacion'!F4,8),IF($G$33=3,ROUND('Tabla de Amortizacion'!I4,8),IF($G$33=4,ROUND('Tabla de Amortizacion'!L4,8),IF($G$33=5,ROUND('Tabla de Amortizacion'!O4,8),IF($G$33=6,ROUND('Tabla de Amortizacion'!R4,8),ROUND('Tabla de Amortizacion'!U4,8)))))))</f>
        <v>0</v>
      </c>
      <c r="K30" s="23"/>
      <c r="L30" s="19"/>
    </row>
    <row r="31" spans="1:12" ht="15">
      <c r="A31" s="19"/>
      <c r="C31" s="170">
        <f>_XLL.FECHA.MES(C30,1)</f>
        <v>38791</v>
      </c>
      <c r="D31" s="51">
        <f>IF($G$33=1,ROUND('Tabla de Amortizacion'!B5,8),IF($G$33=2,ROUND('Tabla de Amortizacion'!E5,8),IF($G$33=3,ROUND('Tabla de Amortizacion'!H5,8),IF($G$33=4,ROUND('Tabla de Amortizacion'!K5,8),IF($G$33=5,ROUND('Tabla de Amortizacion'!N5,8),IF($G$33=6,ROUND('Tabla de Amortizacion'!Q5,8),ROUND('Tabla de Amortizacion'!T5,8)))))))</f>
        <v>0.11221385</v>
      </c>
      <c r="E31" s="51">
        <f>IF($G$33=1,ROUND('Tabla de Amortizacion'!C5,8),IF($G$33=2,ROUND('Tabla de Amortizacion'!F5,8),IF($G$33=3,ROUND('Tabla de Amortizacion'!I5,8),IF($G$33=4,ROUND('Tabla de Amortizacion'!L5,8),IF($G$33=5,ROUND('Tabla de Amortizacion'!O5,8),IF($G$33=6,ROUND('Tabla de Amortizacion'!R5,8),ROUND('Tabla de Amortizacion'!U5,8)))))))</f>
        <v>0</v>
      </c>
      <c r="K31" s="23"/>
      <c r="L31" s="19"/>
    </row>
    <row r="32" spans="1:12" ht="15">
      <c r="A32" s="19"/>
      <c r="C32" s="170">
        <f>_XLL.FECHA.MES(C31,1)</f>
        <v>38822</v>
      </c>
      <c r="D32" s="51">
        <f>IF($G$33=1,ROUND('Tabla de Amortizacion'!B6,8),IF($G$33=2,ROUND('Tabla de Amortizacion'!E6,8),IF($G$33=3,ROUND('Tabla de Amortizacion'!H6,8),IF($G$33=4,ROUND('Tabla de Amortizacion'!K6,8),IF($G$33=5,ROUND('Tabla de Amortizacion'!N6,8),IF($G$33=6,ROUND('Tabla de Amortizacion'!Q6,8),ROUND('Tabla de Amortizacion'!T6,8)))))))</f>
        <v>0.11666071</v>
      </c>
      <c r="E32" s="51">
        <f>IF($G$33=1,ROUND('Tabla de Amortizacion'!C6,8),IF($G$33=2,ROUND('Tabla de Amortizacion'!F6,8),IF($G$33=3,ROUND('Tabla de Amortizacion'!I6,8),IF($G$33=4,ROUND('Tabla de Amortizacion'!L6,8),IF($G$33=5,ROUND('Tabla de Amortizacion'!O6,8),IF($G$33=6,ROUND('Tabla de Amortizacion'!R6,8),ROUND('Tabla de Amortizacion'!U6,8)))))))</f>
        <v>0</v>
      </c>
      <c r="K32" s="37"/>
      <c r="L32" s="19"/>
    </row>
    <row r="33" spans="1:12" ht="15">
      <c r="A33" s="19"/>
      <c r="C33" s="170">
        <f>_XLL.FECHA.MES(C32,1)</f>
        <v>38852</v>
      </c>
      <c r="D33" s="51">
        <f>IF($G$33=1,ROUND('Tabla de Amortizacion'!B7,8),IF($G$33=2,ROUND('Tabla de Amortizacion'!E7,8),IF($G$33=3,ROUND('Tabla de Amortizacion'!H7,8),IF($G$33=4,ROUND('Tabla de Amortizacion'!K7,8),IF($G$33=5,ROUND('Tabla de Amortizacion'!N7,8),IF($G$33=6,ROUND('Tabla de Amortizacion'!Q7,8),ROUND('Tabla de Amortizacion'!T7,8)))))))</f>
        <v>0.1079034</v>
      </c>
      <c r="E33" s="51">
        <f>IF($G$33=1,ROUND('Tabla de Amortizacion'!C7,8),IF($G$33=2,ROUND('Tabla de Amortizacion'!F7,8),IF($G$33=3,ROUND('Tabla de Amortizacion'!I7,8),IF($G$33=4,ROUND('Tabla de Amortizacion'!L7,8),IF($G$33=5,ROUND('Tabla de Amortizacion'!O7,8),IF($G$33=6,ROUND('Tabla de Amortizacion'!R7,8),ROUND('Tabla de Amortizacion'!U7,8)))))))</f>
        <v>0</v>
      </c>
      <c r="G33" s="23">
        <v>2</v>
      </c>
      <c r="K33" s="38"/>
      <c r="L33" s="19"/>
    </row>
    <row r="34" spans="1:12" ht="15" customHeight="1">
      <c r="A34" s="19"/>
      <c r="C34" s="170">
        <f>_XLL.FECHA.MES(C33,1)</f>
        <v>38883</v>
      </c>
      <c r="D34" s="51">
        <f>IF($G$33=1,ROUND('Tabla de Amortizacion'!B8,8),IF($G$33=2,ROUND('Tabla de Amortizacion'!E8,8),IF($G$33=3,ROUND('Tabla de Amortizacion'!H8,8),IF($G$33=4,ROUND('Tabla de Amortizacion'!K8,8),IF($G$33=5,ROUND('Tabla de Amortizacion'!N8,8),IF($G$33=6,ROUND('Tabla de Amortizacion'!Q8,8),ROUND('Tabla de Amortizacion'!T8,8)))))))</f>
        <v>0.16453517</v>
      </c>
      <c r="E34" s="51">
        <f>IF($G$33=1,ROUND('Tabla de Amortizacion'!C8,8),IF($G$33=2,ROUND('Tabla de Amortizacion'!F8,8),IF($G$33=3,ROUND('Tabla de Amortizacion'!I8,8),IF($G$33=4,ROUND('Tabla de Amortizacion'!L8,8),IF($G$33=5,ROUND('Tabla de Amortizacion'!O8,8),IF($G$33=6,ROUND('Tabla de Amortizacion'!R8,8),ROUND('Tabla de Amortizacion'!U8,8)))))))</f>
        <v>0</v>
      </c>
      <c r="L34" s="19"/>
    </row>
    <row r="35" spans="1:12" ht="15">
      <c r="A35" s="19"/>
      <c r="C35" s="170">
        <f>_XLL.FECHA.MES(C34,1)</f>
        <v>38913</v>
      </c>
      <c r="D35" s="51">
        <f>IF($G$33=1,ROUND('Tabla de Amortizacion'!B9,8),IF($G$33=2,ROUND('Tabla de Amortizacion'!E9,8),IF($G$33=3,ROUND('Tabla de Amortizacion'!H9,8),IF($G$33=4,ROUND('Tabla de Amortizacion'!K9,8),IF($G$33=5,ROUND('Tabla de Amortizacion'!N9,8),IF($G$33=6,ROUND('Tabla de Amortizacion'!Q9,8),ROUND('Tabla de Amortizacion'!T9,8)))))))</f>
        <v>0.12544124</v>
      </c>
      <c r="E35" s="51">
        <f>IF($G$33=1,ROUND('Tabla de Amortizacion'!C9,8),IF($G$33=2,ROUND('Tabla de Amortizacion'!F9,8),IF($G$33=3,ROUND('Tabla de Amortizacion'!I9,8),IF($G$33=4,ROUND('Tabla de Amortizacion'!L9,8),IF($G$33=5,ROUND('Tabla de Amortizacion'!O9,8),IF($G$33=6,ROUND('Tabla de Amortizacion'!R9,8),ROUND('Tabla de Amortizacion'!U9,8)))))))</f>
        <v>0</v>
      </c>
      <c r="L35" s="19"/>
    </row>
    <row r="36" spans="1:12" ht="15">
      <c r="A36" s="19"/>
      <c r="C36" s="170">
        <f>_XLL.FECHA.MES(C35,1)</f>
        <v>38944</v>
      </c>
      <c r="D36" s="51">
        <f>IF($G$33=1,ROUND('Tabla de Amortizacion'!B10,8),IF($G$33=2,ROUND('Tabla de Amortizacion'!E10,8),IF($G$33=3,ROUND('Tabla de Amortizacion'!H10,8),IF($G$33=4,ROUND('Tabla de Amortizacion'!K10,8),IF($G$33=5,ROUND('Tabla de Amortizacion'!N10,8),IF($G$33=6,ROUND('Tabla de Amortizacion'!Q10,8),ROUND('Tabla de Amortizacion'!T10,8)))))))</f>
        <v>0.12417954</v>
      </c>
      <c r="E36" s="51">
        <f>IF($G$33=1,ROUND('Tabla de Amortizacion'!C10,8),IF($G$33=2,ROUND('Tabla de Amortizacion'!F10,8),IF($G$33=3,ROUND('Tabla de Amortizacion'!I10,8),IF($G$33=4,ROUND('Tabla de Amortizacion'!L10,8),IF($G$33=5,ROUND('Tabla de Amortizacion'!O10,8),IF($G$33=6,ROUND('Tabla de Amortizacion'!R10,8),ROUND('Tabla de Amortizacion'!U10,8)))))))</f>
        <v>0</v>
      </c>
      <c r="L36" s="19"/>
    </row>
    <row r="37" spans="1:12" ht="15" customHeight="1">
      <c r="A37" s="19"/>
      <c r="C37" s="170">
        <f>_XLL.FECHA.MES(C36,1)</f>
        <v>38975</v>
      </c>
      <c r="D37" s="51">
        <f>IF($G$33=1,ROUND('Tabla de Amortizacion'!B11,8),IF($G$33=2,ROUND('Tabla de Amortizacion'!E11,8),IF($G$33=3,ROUND('Tabla de Amortizacion'!H11,8),IF($G$33=4,ROUND('Tabla de Amortizacion'!K11,8),IF($G$33=5,ROUND('Tabla de Amortizacion'!N11,8),IF($G$33=6,ROUND('Tabla de Amortizacion'!Q11,8),ROUND('Tabla de Amortizacion'!T11,8)))))))</f>
        <v>0.08648296</v>
      </c>
      <c r="E37" s="51">
        <f>IF($G$33=1,ROUND('Tabla de Amortizacion'!C11,8),IF($G$33=2,ROUND('Tabla de Amortizacion'!F11,8),IF($G$33=3,ROUND('Tabla de Amortizacion'!I11,8),IF($G$33=4,ROUND('Tabla de Amortizacion'!L11,8),IF($G$33=5,ROUND('Tabla de Amortizacion'!O11,8),IF($G$33=6,ROUND('Tabla de Amortizacion'!R11,8),ROUND('Tabla de Amortizacion'!U11,8)))))))</f>
        <v>0.14953061</v>
      </c>
      <c r="L37" s="19"/>
    </row>
    <row r="38" spans="1:12" ht="15">
      <c r="A38" s="19"/>
      <c r="C38" s="170">
        <f>_XLL.FECHA.MES(C37,1)</f>
        <v>39005</v>
      </c>
      <c r="D38" s="51">
        <f>IF($G$33=1,ROUND('Tabla de Amortizacion'!B12,8),IF($G$33=2,ROUND('Tabla de Amortizacion'!E12,8),IF($G$33=3,ROUND('Tabla de Amortizacion'!H12,8),IF($G$33=4,ROUND('Tabla de Amortizacion'!K12,8),IF($G$33=5,ROUND('Tabla de Amortizacion'!N12,8),IF($G$33=6,ROUND('Tabla de Amortizacion'!Q12,8),ROUND('Tabla de Amortizacion'!T12,8)))))))</f>
        <v>0</v>
      </c>
      <c r="E38" s="51">
        <f>IF($G$33=1,ROUND('Tabla de Amortizacion'!C12,8),IF($G$33=2,ROUND('Tabla de Amortizacion'!F12,8),IF($G$33=3,ROUND('Tabla de Amortizacion'!I12,8),IF($G$33=4,ROUND('Tabla de Amortizacion'!L12,8),IF($G$33=5,ROUND('Tabla de Amortizacion'!O12,8),IF($G$33=6,ROUND('Tabla de Amortizacion'!R12,8),ROUND('Tabla de Amortizacion'!U12,8)))))))</f>
        <v>0.12469036</v>
      </c>
      <c r="L38" s="19"/>
    </row>
    <row r="39" spans="1:12" ht="15">
      <c r="A39" s="19"/>
      <c r="C39" s="170">
        <f>_XLL.FECHA.MES(C38,1)</f>
        <v>39036</v>
      </c>
      <c r="D39" s="51">
        <f>IF($G$33=1,ROUND('Tabla de Amortizacion'!B13,8),IF($G$33=2,ROUND('Tabla de Amortizacion'!E13,8),IF($G$33=3,ROUND('Tabla de Amortizacion'!H13,8),IF($G$33=4,ROUND('Tabla de Amortizacion'!K13,8),IF($G$33=5,ROUND('Tabla de Amortizacion'!N13,8),IF($G$33=6,ROUND('Tabla de Amortizacion'!Q13,8),ROUND('Tabla de Amortizacion'!T13,8)))))))</f>
        <v>0</v>
      </c>
      <c r="E39" s="51">
        <f>IF($G$33=1,ROUND('Tabla de Amortizacion'!C13,8),IF($G$33=2,ROUND('Tabla de Amortizacion'!F13,8),IF($G$33=3,ROUND('Tabla de Amortizacion'!I13,8),IF($G$33=4,ROUND('Tabla de Amortizacion'!L13,8),IF($G$33=5,ROUND('Tabla de Amortizacion'!O13,8),IF($G$33=6,ROUND('Tabla de Amortizacion'!R13,8),ROUND('Tabla de Amortizacion'!U13,8)))))))</f>
        <v>0.14589588</v>
      </c>
      <c r="L39" s="19"/>
    </row>
    <row r="40" spans="1:12" ht="15" customHeight="1">
      <c r="A40" s="19"/>
      <c r="C40" s="170">
        <f>_XLL.FECHA.MES(C39,1)</f>
        <v>39066</v>
      </c>
      <c r="D40" s="51">
        <f>IF($G$33=1,ROUND('Tabla de Amortizacion'!B14,8),IF($G$33=2,ROUND('Tabla de Amortizacion'!E14,8),IF($G$33=3,ROUND('Tabla de Amortizacion'!H14,8),IF($G$33=4,ROUND('Tabla de Amortizacion'!K14,8),IF($G$33=5,ROUND('Tabla de Amortizacion'!N14,8),IF($G$33=6,ROUND('Tabla de Amortizacion'!Q14,8),ROUND('Tabla de Amortizacion'!T14,8)))))))</f>
        <v>0</v>
      </c>
      <c r="E40" s="51">
        <f>IF($G$33=1,ROUND('Tabla de Amortizacion'!C14,8),IF($G$33=2,ROUND('Tabla de Amortizacion'!F14,8),IF($G$33=3,ROUND('Tabla de Amortizacion'!I14,8),IF($G$33=4,ROUND('Tabla de Amortizacion'!L14,8),IF($G$33=5,ROUND('Tabla de Amortizacion'!O14,8),IF($G$33=6,ROUND('Tabla de Amortizacion'!R14,8),ROUND('Tabla de Amortizacion'!U14,8)))))))</f>
        <v>0.12602953</v>
      </c>
      <c r="L40" s="19"/>
    </row>
    <row r="41" spans="1:12" ht="15">
      <c r="A41" s="19"/>
      <c r="C41" s="170">
        <f>_XLL.FECHA.MES(C40,1)</f>
        <v>39097</v>
      </c>
      <c r="D41" s="51">
        <f>IF($G$33=1,ROUND('Tabla de Amortizacion'!B15,8),IF($G$33=2,ROUND('Tabla de Amortizacion'!E15,8),IF($G$33=3,ROUND('Tabla de Amortizacion'!H15,8),IF($G$33=4,ROUND('Tabla de Amortizacion'!K15,8),IF($G$33=5,ROUND('Tabla de Amortizacion'!N15,8),IF($G$33=6,ROUND('Tabla de Amortizacion'!Q15,8),ROUND('Tabla de Amortizacion'!T15,8)))))))</f>
        <v>0</v>
      </c>
      <c r="E41" s="51">
        <f>IF($G$33=1,ROUND('Tabla de Amortizacion'!C15,8),IF($G$33=2,ROUND('Tabla de Amortizacion'!F15,8),IF($G$33=3,ROUND('Tabla de Amortizacion'!I15,8),IF($G$33=4,ROUND('Tabla de Amortizacion'!L15,8),IF($G$33=5,ROUND('Tabla de Amortizacion'!O15,8),IF($G$33=6,ROUND('Tabla de Amortizacion'!R15,8),ROUND('Tabla de Amortizacion'!U15,8)))))))</f>
        <v>0.10773726</v>
      </c>
      <c r="L41" s="19"/>
    </row>
    <row r="42" spans="1:12" ht="15">
      <c r="A42" s="19"/>
      <c r="C42" s="170">
        <f>_XLL.FECHA.MES(C41,1)</f>
        <v>39128</v>
      </c>
      <c r="D42" s="51">
        <f>IF($G$33=1,ROUND('Tabla de Amortizacion'!B16,8),IF($G$33=2,ROUND('Tabla de Amortizacion'!E16,8),IF($G$33=3,ROUND('Tabla de Amortizacion'!H16,8),IF($G$33=4,ROUND('Tabla de Amortizacion'!K16,8),IF($G$33=5,ROUND('Tabla de Amortizacion'!N16,8),IF($G$33=6,ROUND('Tabla de Amortizacion'!Q16,8),ROUND('Tabla de Amortizacion'!T16,8)))))))</f>
        <v>0</v>
      </c>
      <c r="E42" s="51">
        <f>IF($G$33=1,ROUND('Tabla de Amortizacion'!C16,8),IF($G$33=2,ROUND('Tabla de Amortizacion'!F16,8),IF($G$33=3,ROUND('Tabla de Amortizacion'!I16,8),IF($G$33=4,ROUND('Tabla de Amortizacion'!L16,8),IF($G$33=5,ROUND('Tabla de Amortizacion'!O16,8),IF($G$33=6,ROUND('Tabla de Amortizacion'!R16,8),ROUND('Tabla de Amortizacion'!U16,8)))))))</f>
        <v>0.09165127</v>
      </c>
      <c r="L42" s="19"/>
    </row>
    <row r="43" spans="1:12" ht="15" customHeight="1">
      <c r="A43" s="19"/>
      <c r="C43" s="170">
        <f>_XLL.FECHA.MES(C42,1)</f>
        <v>39156</v>
      </c>
      <c r="D43" s="51">
        <f>IF($G$33=1,ROUND('Tabla de Amortizacion'!B17,8),IF($G$33=2,ROUND('Tabla de Amortizacion'!E17,8),IF($G$33=3,ROUND('Tabla de Amortizacion'!H17,8),IF($G$33=4,ROUND('Tabla de Amortizacion'!K17,8),IF($G$33=5,ROUND('Tabla de Amortizacion'!N17,8),IF($G$33=6,ROUND('Tabla de Amortizacion'!Q17,8),ROUND('Tabla de Amortizacion'!T17,8)))))))</f>
        <v>0</v>
      </c>
      <c r="E43" s="51">
        <f>IF($G$33=1,ROUND('Tabla de Amortizacion'!C17,8),IF($G$33=2,ROUND('Tabla de Amortizacion'!F17,8),IF($G$33=3,ROUND('Tabla de Amortizacion'!I17,8),IF($G$33=4,ROUND('Tabla de Amortizacion'!L17,8),IF($G$33=5,ROUND('Tabla de Amortizacion'!O17,8),IF($G$33=6,ROUND('Tabla de Amortizacion'!R17,8),ROUND('Tabla de Amortizacion'!U17,8)))))))</f>
        <v>0.08807158</v>
      </c>
      <c r="L43" s="19"/>
    </row>
    <row r="44" spans="1:12" ht="15">
      <c r="A44" s="19"/>
      <c r="C44" s="170">
        <f>_XLL.FECHA.MES(C43,1)</f>
        <v>39187</v>
      </c>
      <c r="D44" s="51">
        <f>IF($G$33=1,ROUND('Tabla de Amortizacion'!B18,8),IF($G$33=2,ROUND('Tabla de Amortizacion'!E18,8),IF($G$33=3,ROUND('Tabla de Amortizacion'!H18,8),IF($G$33=4,ROUND('Tabla de Amortizacion'!K18,8),IF($G$33=5,ROUND('Tabla de Amortizacion'!N18,8),IF($G$33=6,ROUND('Tabla de Amortizacion'!Q18,8),ROUND('Tabla de Amortizacion'!T18,8)))))))</f>
        <v>0</v>
      </c>
      <c r="E44" s="51">
        <f>IF($G$33=1,ROUND('Tabla de Amortizacion'!C18,8),IF($G$33=2,ROUND('Tabla de Amortizacion'!F18,8),IF($G$33=3,ROUND('Tabla de Amortizacion'!I18,8),IF($G$33=4,ROUND('Tabla de Amortizacion'!L18,8),IF($G$33=5,ROUND('Tabla de Amortizacion'!O18,8),IF($G$33=6,ROUND('Tabla de Amortizacion'!R18,8),ROUND('Tabla de Amortizacion'!U18,8)))))))</f>
        <v>0.06752771</v>
      </c>
      <c r="L44" s="19"/>
    </row>
    <row r="45" spans="1:12" ht="15">
      <c r="A45" s="19"/>
      <c r="C45" s="170">
        <f>_XLL.FECHA.MES(C44,1)</f>
        <v>39217</v>
      </c>
      <c r="D45" s="51">
        <f>IF($G$33=1,ROUND('Tabla de Amortizacion'!B19,8),IF($G$33=2,ROUND('Tabla de Amortizacion'!E19,8),IF($G$33=3,ROUND('Tabla de Amortizacion'!H19,8),IF($G$33=4,ROUND('Tabla de Amortizacion'!K19,8),IF($G$33=5,ROUND('Tabla de Amortizacion'!N19,8),IF($G$33=6,ROUND('Tabla de Amortizacion'!Q19,8),ROUND('Tabla de Amortizacion'!T19,8)))))))</f>
        <v>0</v>
      </c>
      <c r="E45" s="51">
        <f>IF($G$33=1,ROUND('Tabla de Amortizacion'!C19,8),IF($G$33=2,ROUND('Tabla de Amortizacion'!F19,8),IF($G$33=3,ROUND('Tabla de Amortizacion'!I19,8),IF($G$33=4,ROUND('Tabla de Amortizacion'!L19,8),IF($G$33=5,ROUND('Tabla de Amortizacion'!O19,8),IF($G$33=6,ROUND('Tabla de Amortizacion'!R19,8),ROUND('Tabla de Amortizacion'!U19,8)))))))</f>
        <v>0.03943122</v>
      </c>
      <c r="L45" s="19"/>
    </row>
    <row r="46" spans="1:12" ht="15" customHeight="1">
      <c r="A46" s="19"/>
      <c r="C46" s="170">
        <f>_XLL.FECHA.MES(C45,1)</f>
        <v>39248</v>
      </c>
      <c r="D46" s="51">
        <f>IF($G$33=1,ROUND('Tabla de Amortizacion'!B20,8),IF($G$33=2,ROUND('Tabla de Amortizacion'!E20,8),IF($G$33=3,ROUND('Tabla de Amortizacion'!H20,8),IF($G$33=4,ROUND('Tabla de Amortizacion'!K20,8),IF($G$33=5,ROUND('Tabla de Amortizacion'!N20,8),IF($G$33=6,ROUND('Tabla de Amortizacion'!Q20,8),ROUND('Tabla de Amortizacion'!T20,8)))))))</f>
        <v>0</v>
      </c>
      <c r="E46" s="51">
        <f>IF($G$33=1,ROUND('Tabla de Amortizacion'!C20,8),IF($G$33=2,ROUND('Tabla de Amortizacion'!F20,8),IF($G$33=3,ROUND('Tabla de Amortizacion'!I20,8),IF($G$33=4,ROUND('Tabla de Amortizacion'!L20,8),IF($G$33=5,ROUND('Tabla de Amortizacion'!O20,8),IF($G$33=6,ROUND('Tabla de Amortizacion'!R20,8),ROUND('Tabla de Amortizacion'!U20,8)))))))</f>
        <v>0.05335454</v>
      </c>
      <c r="L46" s="19"/>
    </row>
    <row r="47" spans="1:12" ht="15" customHeight="1">
      <c r="A47" s="19"/>
      <c r="C47" s="170">
        <f>_XLL.FECHA.MES(C46,1)</f>
        <v>39278</v>
      </c>
      <c r="D47" s="51">
        <f>IF($G$33=1,ROUND('Tabla de Amortizacion'!B21,8),IF($G$33=2,ROUND('Tabla de Amortizacion'!E21,8),IF($G$33=3,ROUND('Tabla de Amortizacion'!H21,8),IF($G$33=4,ROUND('Tabla de Amortizacion'!K21,8),IF($G$33=5,ROUND('Tabla de Amortizacion'!N21,8),IF($G$33=6,ROUND('Tabla de Amortizacion'!Q21,8),ROUND('Tabla de Amortizacion'!T21,8)))))))</f>
        <v>0</v>
      </c>
      <c r="E47" s="51">
        <f>IF($G$33=1,ROUND('Tabla de Amortizacion'!C21,8),IF($G$33=2,ROUND('Tabla de Amortizacion'!F21,8),IF($G$33=3,ROUND('Tabla de Amortizacion'!I21,8),IF($G$33=4,ROUND('Tabla de Amortizacion'!L21,8),IF($G$33=5,ROUND('Tabla de Amortizacion'!O21,8),IF($G$33=6,ROUND('Tabla de Amortizacion'!R21,8),ROUND('Tabla de Amortizacion'!U21,8)))))))</f>
        <v>0.00608004</v>
      </c>
      <c r="G47" s="150" t="s">
        <v>60</v>
      </c>
      <c r="H47" s="151"/>
      <c r="I47" s="151"/>
      <c r="J47" s="152"/>
      <c r="L47" s="19"/>
    </row>
    <row r="48" spans="1:12" ht="15" customHeight="1">
      <c r="A48" s="19"/>
      <c r="C48" s="170">
        <f>_XLL.FECHA.MES(C47,1)</f>
        <v>39309</v>
      </c>
      <c r="D48" s="51">
        <f>IF($G$33=1,ROUND('Tabla de Amortizacion'!B22,8),IF($G$33=2,ROUND('Tabla de Amortizacion'!E22,8),IF($G$33=3,ROUND('Tabla de Amortizacion'!H22,8),IF($G$33=4,ROUND('Tabla de Amortizacion'!K22,8),IF($G$33=5,ROUND('Tabla de Amortizacion'!N22,8),IF($G$33=6,ROUND('Tabla de Amortizacion'!Q22,8),ROUND('Tabla de Amortizacion'!T22,8)))))))</f>
        <v>0</v>
      </c>
      <c r="E48" s="51">
        <f>IF($G$33=1,ROUND('Tabla de Amortizacion'!C22,8),IF($G$33=2,ROUND('Tabla de Amortizacion'!F22,8),IF($G$33=3,ROUND('Tabla de Amortizacion'!I22,8),IF($G$33=4,ROUND('Tabla de Amortizacion'!L22,8),IF($G$33=5,ROUND('Tabla de Amortizacion'!O22,8),IF($G$33=6,ROUND('Tabla de Amortizacion'!R22,8),ROUND('Tabla de Amortizacion'!U22,8)))))))</f>
        <v>0</v>
      </c>
      <c r="G48" s="153" t="s">
        <v>48</v>
      </c>
      <c r="H48" s="154"/>
      <c r="I48" s="154"/>
      <c r="J48" s="155"/>
      <c r="L48" s="19"/>
    </row>
    <row r="49" spans="1:12" ht="15" customHeight="1">
      <c r="A49" s="19"/>
      <c r="C49" s="170">
        <f>_XLL.FECHA.MES(C48,1)</f>
        <v>39340</v>
      </c>
      <c r="D49" s="51">
        <f>IF($G$33=1,ROUND('Tabla de Amortizacion'!B23,8),IF($G$33=2,ROUND('Tabla de Amortizacion'!E23,8),IF($G$33=3,ROUND('Tabla de Amortizacion'!H23,8),IF($G$33=4,ROUND('Tabla de Amortizacion'!K23,8),IF($G$33=5,ROUND('Tabla de Amortizacion'!N23,8),IF($G$33=6,ROUND('Tabla de Amortizacion'!Q23,8),ROUND('Tabla de Amortizacion'!T23,8)))))))</f>
        <v>0</v>
      </c>
      <c r="E49" s="51">
        <f>IF($G$33=1,ROUND('Tabla de Amortizacion'!C23,8),IF($G$33=2,ROUND('Tabla de Amortizacion'!F23,8),IF($G$33=3,ROUND('Tabla de Amortizacion'!I23,8),IF($G$33=4,ROUND('Tabla de Amortizacion'!L23,8),IF($G$33=5,ROUND('Tabla de Amortizacion'!O23,8),IF($G$33=6,ROUND('Tabla de Amortizacion'!R23,8),ROUND('Tabla de Amortizacion'!U23,8)))))))</f>
        <v>0</v>
      </c>
      <c r="G49" s="203" t="s">
        <v>54</v>
      </c>
      <c r="H49" s="204"/>
      <c r="I49" s="204"/>
      <c r="J49" s="205"/>
      <c r="L49" s="19"/>
    </row>
    <row r="50" spans="1:12" ht="15" customHeight="1">
      <c r="A50" s="19"/>
      <c r="C50" s="170">
        <f>_XLL.FECHA.MES(C49,1)</f>
        <v>39370</v>
      </c>
      <c r="D50" s="51">
        <f>IF($G$33=1,ROUND('Tabla de Amortizacion'!B24,8),IF($G$33=2,ROUND('Tabla de Amortizacion'!E24,8),IF($G$33=3,ROUND('Tabla de Amortizacion'!H24,8),IF($G$33=4,ROUND('Tabla de Amortizacion'!K24,8),IF($G$33=5,ROUND('Tabla de Amortizacion'!N24,8),IF($G$33=6,ROUND('Tabla de Amortizacion'!Q24,8),ROUND('Tabla de Amortizacion'!T24,8)))))))</f>
        <v>0</v>
      </c>
      <c r="E50" s="51">
        <f>IF($G$33=1,ROUND('Tabla de Amortizacion'!C24,8),IF($G$33=2,ROUND('Tabla de Amortizacion'!F24,8),IF($G$33=3,ROUND('Tabla de Amortizacion'!I24,8),IF($G$33=4,ROUND('Tabla de Amortizacion'!L24,8),IF($G$33=5,ROUND('Tabla de Amortizacion'!O24,8),IF($G$33=6,ROUND('Tabla de Amortizacion'!R24,8),ROUND('Tabla de Amortizacion'!U24,8)))))))</f>
        <v>0</v>
      </c>
      <c r="G50" s="203" t="s">
        <v>82</v>
      </c>
      <c r="H50" s="204"/>
      <c r="I50" s="204"/>
      <c r="J50" s="205"/>
      <c r="L50" s="19"/>
    </row>
    <row r="51" spans="1:12" ht="15">
      <c r="A51" s="19"/>
      <c r="C51" s="170">
        <f>_XLL.FECHA.MES(C50,1)</f>
        <v>39401</v>
      </c>
      <c r="D51" s="51">
        <f>IF($G$33=1,ROUND('Tabla de Amortizacion'!B25,8),IF($G$33=2,ROUND('Tabla de Amortizacion'!E25,8),IF($G$33=3,ROUND('Tabla de Amortizacion'!H25,8),IF($G$33=4,ROUND('Tabla de Amortizacion'!K25,8),IF($G$33=5,ROUND('Tabla de Amortizacion'!N25,8),IF($G$33=6,ROUND('Tabla de Amortizacion'!Q25,8),ROUND('Tabla de Amortizacion'!T25,8)))))))</f>
        <v>0</v>
      </c>
      <c r="E51" s="51">
        <f>IF($G$33=1,ROUND('Tabla de Amortizacion'!C25,8),IF($G$33=2,ROUND('Tabla de Amortizacion'!F25,8),IF($G$33=3,ROUND('Tabla de Amortizacion'!I25,8),IF($G$33=4,ROUND('Tabla de Amortizacion'!L25,8),IF($G$33=5,ROUND('Tabla de Amortizacion'!O25,8),IF($G$33=6,ROUND('Tabla de Amortizacion'!R25,8),ROUND('Tabla de Amortizacion'!U25,8)))))))</f>
        <v>0</v>
      </c>
      <c r="G51" s="203" t="s">
        <v>56</v>
      </c>
      <c r="H51" s="204"/>
      <c r="I51" s="204"/>
      <c r="J51" s="205"/>
      <c r="L51" s="19"/>
    </row>
    <row r="52" spans="1:12" ht="15" customHeight="1">
      <c r="A52" s="19"/>
      <c r="C52" s="170">
        <f>_XLL.FECHA.MES(C51,1)</f>
        <v>39431</v>
      </c>
      <c r="D52" s="51">
        <f>IF($G$33=1,ROUND('Tabla de Amortizacion'!B26,8),IF($G$33=2,ROUND('Tabla de Amortizacion'!E26,8),IF($G$33=3,ROUND('Tabla de Amortizacion'!H26,8),IF($G$33=4,ROUND('Tabla de Amortizacion'!K26,8),IF($G$33=5,ROUND('Tabla de Amortizacion'!N26,8),IF($G$33=6,ROUND('Tabla de Amortizacion'!Q26,8),ROUND('Tabla de Amortizacion'!T26,8)))))))</f>
        <v>0</v>
      </c>
      <c r="E52" s="51">
        <f>IF($G$33=1,ROUND('Tabla de Amortizacion'!C26,8),IF($G$33=2,ROUND('Tabla de Amortizacion'!F26,8),IF($G$33=3,ROUND('Tabla de Amortizacion'!I26,8),IF($G$33=4,ROUND('Tabla de Amortizacion'!L26,8),IF($G$33=5,ROUND('Tabla de Amortizacion'!O26,8),IF($G$33=6,ROUND('Tabla de Amortizacion'!R26,8),ROUND('Tabla de Amortizacion'!U26,8)))))))</f>
        <v>0</v>
      </c>
      <c r="G52" s="203" t="s">
        <v>84</v>
      </c>
      <c r="H52" s="204"/>
      <c r="I52" s="204"/>
      <c r="J52" s="205"/>
      <c r="L52" s="19"/>
    </row>
    <row r="53" spans="1:12" ht="15" customHeight="1">
      <c r="A53" s="19"/>
      <c r="C53" s="170">
        <f>_XLL.FECHA.MES(C52,1)</f>
        <v>39462</v>
      </c>
      <c r="D53" s="51">
        <f>IF($G$33=1,ROUND('Tabla de Amortizacion'!B27,8),IF($G$33=2,ROUND('Tabla de Amortizacion'!E27,8),IF($G$33=3,ROUND('Tabla de Amortizacion'!H27,8),IF($G$33=4,ROUND('Tabla de Amortizacion'!K27,8),IF($G$33=5,ROUND('Tabla de Amortizacion'!N27,8),IF($G$33=6,ROUND('Tabla de Amortizacion'!Q27,8),ROUND('Tabla de Amortizacion'!T27,8)))))))</f>
        <v>0</v>
      </c>
      <c r="E53" s="51">
        <f>IF($G$33=1,ROUND('Tabla de Amortizacion'!C27,8),IF($G$33=2,ROUND('Tabla de Amortizacion'!F27,8),IF($G$33=3,ROUND('Tabla de Amortizacion'!I27,8),IF($G$33=4,ROUND('Tabla de Amortizacion'!L27,8),IF($G$33=5,ROUND('Tabla de Amortizacion'!O27,8),IF($G$33=6,ROUND('Tabla de Amortizacion'!R27,8),ROUND('Tabla de Amortizacion'!U27,8)))))))</f>
        <v>0</v>
      </c>
      <c r="G53" s="156" t="s">
        <v>50</v>
      </c>
      <c r="H53" s="157"/>
      <c r="I53" s="157"/>
      <c r="J53" s="158"/>
      <c r="L53" s="19"/>
    </row>
    <row r="54" spans="1:12" ht="15">
      <c r="A54" s="19"/>
      <c r="C54" s="170">
        <f>_XLL.FECHA.MES(C53,1)</f>
        <v>39493</v>
      </c>
      <c r="D54" s="51">
        <f>IF($G$33=1,ROUND('Tabla de Amortizacion'!B28,8),IF($G$33=2,ROUND('Tabla de Amortizacion'!E28,8),IF($G$33=3,ROUND('Tabla de Amortizacion'!H28,8),IF($G$33=4,ROUND('Tabla de Amortizacion'!K28,8),IF($G$33=5,ROUND('Tabla de Amortizacion'!N28,8),IF($G$33=6,ROUND('Tabla de Amortizacion'!Q28,8),ROUND('Tabla de Amortizacion'!T28,8)))))))</f>
        <v>0</v>
      </c>
      <c r="E54" s="51">
        <f>IF($G$33=1,ROUND('Tabla de Amortizacion'!C28,8),IF($G$33=2,ROUND('Tabla de Amortizacion'!F28,8),IF($G$33=3,ROUND('Tabla de Amortizacion'!I28,8),IF($G$33=4,ROUND('Tabla de Amortizacion'!L28,8),IF($G$33=5,ROUND('Tabla de Amortizacion'!O28,8),IF($G$33=6,ROUND('Tabla de Amortizacion'!R28,8),ROUND('Tabla de Amortizacion'!U28,8)))))))</f>
        <v>0</v>
      </c>
      <c r="G54" s="203" t="s">
        <v>55</v>
      </c>
      <c r="H54" s="204"/>
      <c r="I54" s="204"/>
      <c r="J54" s="205"/>
      <c r="L54" s="19"/>
    </row>
    <row r="55" spans="1:12" ht="15" customHeight="1">
      <c r="A55" s="19"/>
      <c r="C55" s="170">
        <f>_XLL.FECHA.MES(C54,1)</f>
        <v>39522</v>
      </c>
      <c r="D55" s="51">
        <f>IF($G$33=1,ROUND('Tabla de Amortizacion'!B29,8),IF($G$33=2,ROUND('Tabla de Amortizacion'!E29,8),IF($G$33=3,ROUND('Tabla de Amortizacion'!H29,8),IF($G$33=4,ROUND('Tabla de Amortizacion'!K29,8),IF($G$33=5,ROUND('Tabla de Amortizacion'!N29,8),IF($G$33=6,ROUND('Tabla de Amortizacion'!Q29,8),ROUND('Tabla de Amortizacion'!T29,8)))))))</f>
        <v>0</v>
      </c>
      <c r="E55" s="51">
        <f>IF($G$33=1,ROUND('Tabla de Amortizacion'!C29,8),IF($G$33=2,ROUND('Tabla de Amortizacion'!F29,8),IF($G$33=3,ROUND('Tabla de Amortizacion'!I29,8),IF($G$33=4,ROUND('Tabla de Amortizacion'!L29,8),IF($G$33=5,ROUND('Tabla de Amortizacion'!O29,8),IF($G$33=6,ROUND('Tabla de Amortizacion'!R29,8),ROUND('Tabla de Amortizacion'!U29,8)))))))</f>
        <v>0</v>
      </c>
      <c r="G55" s="203" t="s">
        <v>83</v>
      </c>
      <c r="H55" s="204"/>
      <c r="I55" s="204"/>
      <c r="J55" s="205"/>
      <c r="L55" s="19"/>
    </row>
    <row r="56" spans="1:12" ht="15" customHeight="1">
      <c r="A56" s="19"/>
      <c r="C56" s="170">
        <f>_XLL.FECHA.MES(C55,1)</f>
        <v>39553</v>
      </c>
      <c r="D56" s="51">
        <f>IF($G$33=1,ROUND('Tabla de Amortizacion'!B30,8),IF($G$33=2,ROUND('Tabla de Amortizacion'!E30,8),IF($G$33=3,ROUND('Tabla de Amortizacion'!H30,8),IF($G$33=4,ROUND('Tabla de Amortizacion'!K30,8),IF($G$33=5,ROUND('Tabla de Amortizacion'!N30,8),IF($G$33=6,ROUND('Tabla de Amortizacion'!Q30,8),ROUND('Tabla de Amortizacion'!T30,8)))))))</f>
        <v>0</v>
      </c>
      <c r="E56" s="51">
        <f>IF($G$33=1,ROUND('Tabla de Amortizacion'!C30,8),IF($G$33=2,ROUND('Tabla de Amortizacion'!F30,8),IF($G$33=3,ROUND('Tabla de Amortizacion'!I30,8),IF($G$33=4,ROUND('Tabla de Amortizacion'!L30,8),IF($G$33=5,ROUND('Tabla de Amortizacion'!O30,8),IF($G$33=6,ROUND('Tabla de Amortizacion'!R30,8),ROUND('Tabla de Amortizacion'!U30,8)))))))</f>
        <v>0</v>
      </c>
      <c r="G56" s="203" t="s">
        <v>56</v>
      </c>
      <c r="H56" s="204"/>
      <c r="I56" s="204"/>
      <c r="J56" s="205"/>
      <c r="L56" s="19"/>
    </row>
    <row r="57" spans="1:12" ht="15" customHeight="1">
      <c r="A57" s="19"/>
      <c r="C57" s="170">
        <f>_XLL.FECHA.MES(C56,1)</f>
        <v>39583</v>
      </c>
      <c r="D57" s="51">
        <f>IF($G$33=1,ROUND('Tabla de Amortizacion'!B31,8),IF($G$33=2,ROUND('Tabla de Amortizacion'!E31,8),IF($G$33=3,ROUND('Tabla de Amortizacion'!H31,8),IF($G$33=4,ROUND('Tabla de Amortizacion'!K31,8),IF($G$33=5,ROUND('Tabla de Amortizacion'!N31,8),IF($G$33=6,ROUND('Tabla de Amortizacion'!Q31,8),ROUND('Tabla de Amortizacion'!T31,8)))))))</f>
        <v>0</v>
      </c>
      <c r="E57" s="51">
        <f>IF($G$33=1,ROUND('Tabla de Amortizacion'!C31,8),IF($G$33=2,ROUND('Tabla de Amortizacion'!F31,8),IF($G$33=3,ROUND('Tabla de Amortizacion'!I31,8),IF($G$33=4,ROUND('Tabla de Amortizacion'!L31,8),IF($G$33=5,ROUND('Tabla de Amortizacion'!O31,8),IF($G$33=6,ROUND('Tabla de Amortizacion'!R31,8),ROUND('Tabla de Amortizacion'!U31,8)))))))</f>
        <v>0</v>
      </c>
      <c r="G57" s="203" t="s">
        <v>85</v>
      </c>
      <c r="H57" s="204"/>
      <c r="I57" s="204"/>
      <c r="J57" s="205"/>
      <c r="L57" s="19"/>
    </row>
    <row r="58" spans="1:12" ht="15" customHeight="1">
      <c r="A58" s="19"/>
      <c r="C58" s="170">
        <f>_XLL.FECHA.MES(C57,1)</f>
        <v>39614</v>
      </c>
      <c r="D58" s="51">
        <f>IF($G$33=1,ROUND('Tabla de Amortizacion'!B32,8),IF($G$33=2,ROUND('Tabla de Amortizacion'!E32,8),IF($G$33=3,ROUND('Tabla de Amortizacion'!H32,8),IF($G$33=4,ROUND('Tabla de Amortizacion'!K32,8),IF($G$33=5,ROUND('Tabla de Amortizacion'!N32,8),IF($G$33=6,ROUND('Tabla de Amortizacion'!Q32,8),ROUND('Tabla de Amortizacion'!T32,8)))))))</f>
        <v>0</v>
      </c>
      <c r="E58" s="51">
        <f>IF($G$33=1,ROUND('Tabla de Amortizacion'!C32,8),IF($G$33=2,ROUND('Tabla de Amortizacion'!F32,8),IF($G$33=3,ROUND('Tabla de Amortizacion'!I32,8),IF($G$33=4,ROUND('Tabla de Amortizacion'!L32,8),IF($G$33=5,ROUND('Tabla de Amortizacion'!O32,8),IF($G$33=6,ROUND('Tabla de Amortizacion'!R32,8),ROUND('Tabla de Amortizacion'!U32,8)))))))</f>
        <v>0</v>
      </c>
      <c r="G58" s="156" t="s">
        <v>51</v>
      </c>
      <c r="H58" s="157"/>
      <c r="I58" s="157"/>
      <c r="J58" s="158"/>
      <c r="L58" s="19"/>
    </row>
    <row r="59" spans="1:12" ht="15.75" customHeight="1">
      <c r="A59" s="19"/>
      <c r="C59" s="170">
        <f>_XLL.FECHA.MES(C58,1)</f>
        <v>39644</v>
      </c>
      <c r="D59" s="51">
        <f>IF($G$33=1,ROUND('Tabla de Amortizacion'!B33,8),IF($G$33=2,ROUND('Tabla de Amortizacion'!E33,8),IF($G$33=3,ROUND('Tabla de Amortizacion'!H33,8),IF($G$33=4,ROUND('Tabla de Amortizacion'!K33,8),IF($G$33=5,ROUND('Tabla de Amortizacion'!N33,8),IF($G$33=6,ROUND('Tabla de Amortizacion'!Q33,8),ROUND('Tabla de Amortizacion'!T33,8)))))))</f>
        <v>0</v>
      </c>
      <c r="E59" s="51">
        <f>IF($G$33=1,ROUND('Tabla de Amortizacion'!C33,8),IF($G$33=2,ROUND('Tabla de Amortizacion'!F33,8),IF($G$33=3,ROUND('Tabla de Amortizacion'!I33,8),IF($G$33=4,ROUND('Tabla de Amortizacion'!L33,8),IF($G$33=5,ROUND('Tabla de Amortizacion'!O33,8),IF($G$33=6,ROUND('Tabla de Amortizacion'!R33,8),ROUND('Tabla de Amortizacion'!U33,8)))))))</f>
        <v>0</v>
      </c>
      <c r="G59" s="203" t="s">
        <v>49</v>
      </c>
      <c r="H59" s="204"/>
      <c r="I59" s="204"/>
      <c r="J59" s="205"/>
      <c r="L59" s="19"/>
    </row>
    <row r="60" spans="1:12" ht="15" customHeight="1">
      <c r="A60" s="19"/>
      <c r="C60" s="170">
        <f>_XLL.FECHA.MES(C59,1)</f>
        <v>39675</v>
      </c>
      <c r="D60" s="51">
        <f>IF($G$33=1,ROUND('Tabla de Amortizacion'!B34,8),IF($G$33=2,ROUND('Tabla de Amortizacion'!E34,8),IF($G$33=3,ROUND('Tabla de Amortizacion'!H34,8),IF($G$33=4,ROUND('Tabla de Amortizacion'!K34,8),IF($G$33=5,ROUND('Tabla de Amortizacion'!N34,8),IF($G$33=6,ROUND('Tabla de Amortizacion'!Q34,8),ROUND('Tabla de Amortizacion'!T34,8)))))))</f>
        <v>0</v>
      </c>
      <c r="E60" s="51">
        <f>IF($G$33=1,ROUND('Tabla de Amortizacion'!C34,8),IF($G$33=2,ROUND('Tabla de Amortizacion'!F34,8),IF($G$33=3,ROUND('Tabla de Amortizacion'!I34,8),IF($G$33=4,ROUND('Tabla de Amortizacion'!L34,8),IF($G$33=5,ROUND('Tabla de Amortizacion'!O34,8),IF($G$33=6,ROUND('Tabla de Amortizacion'!R34,8),ROUND('Tabla de Amortizacion'!U34,8)))))))</f>
        <v>0</v>
      </c>
      <c r="G60" s="203" t="s">
        <v>86</v>
      </c>
      <c r="H60" s="204"/>
      <c r="I60" s="204"/>
      <c r="J60" s="205"/>
      <c r="L60" s="19"/>
    </row>
    <row r="61" spans="1:12" ht="15">
      <c r="A61" s="19"/>
      <c r="C61" s="170">
        <f>_XLL.FECHA.MES(C60,1)</f>
        <v>39706</v>
      </c>
      <c r="D61" s="51">
        <f>IF($G$33=1,ROUND('Tabla de Amortizacion'!B35,8),IF($G$33=2,ROUND('Tabla de Amortizacion'!E35,8),IF($G$33=3,ROUND('Tabla de Amortizacion'!H35,8),IF($G$33=4,ROUND('Tabla de Amortizacion'!K35,8),IF($G$33=5,ROUND('Tabla de Amortizacion'!N35,8),IF($G$33=6,ROUND('Tabla de Amortizacion'!Q35,8),ROUND('Tabla de Amortizacion'!T35,8)))))))</f>
        <v>0</v>
      </c>
      <c r="E61" s="51">
        <f>IF($G$33=1,ROUND('Tabla de Amortizacion'!C35,8),IF($G$33=2,ROUND('Tabla de Amortizacion'!F35,8),IF($G$33=3,ROUND('Tabla de Amortizacion'!I35,8),IF($G$33=4,ROUND('Tabla de Amortizacion'!L35,8),IF($G$33=5,ROUND('Tabla de Amortizacion'!O35,8),IF($G$33=6,ROUND('Tabla de Amortizacion'!R35,8),ROUND('Tabla de Amortizacion'!U35,8)))))))</f>
        <v>0</v>
      </c>
      <c r="G61" s="203" t="s">
        <v>57</v>
      </c>
      <c r="H61" s="204"/>
      <c r="I61" s="204"/>
      <c r="J61" s="205"/>
      <c r="L61" s="19"/>
    </row>
    <row r="62" spans="1:12" ht="15" customHeight="1">
      <c r="A62" s="19"/>
      <c r="C62" s="170">
        <f>_XLL.FECHA.MES(C61,1)</f>
        <v>39736</v>
      </c>
      <c r="D62" s="51">
        <f>IF($G$33=1,ROUND('Tabla de Amortizacion'!B36,8),IF($G$33=2,ROUND('Tabla de Amortizacion'!E36,8),IF($G$33=3,ROUND('Tabla de Amortizacion'!H36,8),IF($G$33=4,ROUND('Tabla de Amortizacion'!K36,8),IF($G$33=5,ROUND('Tabla de Amortizacion'!N36,8),IF($G$33=6,ROUND('Tabla de Amortizacion'!Q36,8),ROUND('Tabla de Amortizacion'!T36,8)))))))</f>
        <v>0</v>
      </c>
      <c r="E62" s="51">
        <f>IF($G$33=1,ROUND('Tabla de Amortizacion'!C36,8),IF($G$33=2,ROUND('Tabla de Amortizacion'!F36,8),IF($G$33=3,ROUND('Tabla de Amortizacion'!I36,8),IF($G$33=4,ROUND('Tabla de Amortizacion'!L36,8),IF($G$33=5,ROUND('Tabla de Amortizacion'!O36,8),IF($G$33=6,ROUND('Tabla de Amortizacion'!R36,8),ROUND('Tabla de Amortizacion'!U36,8)))))))</f>
        <v>0</v>
      </c>
      <c r="G62" s="203" t="s">
        <v>85</v>
      </c>
      <c r="H62" s="204"/>
      <c r="I62" s="204"/>
      <c r="J62" s="205"/>
      <c r="L62" s="19"/>
    </row>
    <row r="63" spans="1:12" ht="15" customHeight="1">
      <c r="A63" s="19"/>
      <c r="C63" s="170">
        <f>_XLL.FECHA.MES(C62,1)</f>
        <v>39767</v>
      </c>
      <c r="D63" s="51">
        <f>IF($G$33=1,ROUND('Tabla de Amortizacion'!B37,8),IF($G$33=2,ROUND('Tabla de Amortizacion'!E37,8),IF($G$33=3,ROUND('Tabla de Amortizacion'!H37,8),IF($G$33=4,ROUND('Tabla de Amortizacion'!K37,8),IF($G$33=5,ROUND('Tabla de Amortizacion'!N37,8),IF($G$33=6,ROUND('Tabla de Amortizacion'!Q37,8),ROUND('Tabla de Amortizacion'!T37,8)))))))</f>
        <v>0</v>
      </c>
      <c r="E63" s="51">
        <f>IF($G$33=1,ROUND('Tabla de Amortizacion'!C37,8),IF($G$33=2,ROUND('Tabla de Amortizacion'!F37,8),IF($G$33=3,ROUND('Tabla de Amortizacion'!I37,8),IF($G$33=4,ROUND('Tabla de Amortizacion'!L37,8),IF($G$33=5,ROUND('Tabla de Amortizacion'!O37,8),IF($G$33=6,ROUND('Tabla de Amortizacion'!R37,8),ROUND('Tabla de Amortizacion'!U37,8)))))))</f>
        <v>0</v>
      </c>
      <c r="G63" s="156" t="s">
        <v>52</v>
      </c>
      <c r="H63" s="157"/>
      <c r="I63" s="157"/>
      <c r="J63" s="158"/>
      <c r="L63" s="19"/>
    </row>
    <row r="64" spans="1:12" ht="15">
      <c r="A64" s="19"/>
      <c r="C64" s="170">
        <f>_XLL.FECHA.MES(C63,1)</f>
        <v>39797</v>
      </c>
      <c r="D64" s="51">
        <f>IF($G$33=1,ROUND('Tabla de Amortizacion'!B38,8),IF($G$33=2,ROUND('Tabla de Amortizacion'!E38,8),IF($G$33=3,ROUND('Tabla de Amortizacion'!H38,8),IF($G$33=4,ROUND('Tabla de Amortizacion'!K38,8),IF($G$33=5,ROUND('Tabla de Amortizacion'!N38,8),IF($G$33=6,ROUND('Tabla de Amortizacion'!Q38,8),ROUND('Tabla de Amortizacion'!T38,8)))))))</f>
        <v>0</v>
      </c>
      <c r="E64" s="51">
        <f>IF($G$33=1,ROUND('Tabla de Amortizacion'!C38,8),IF($G$33=2,ROUND('Tabla de Amortizacion'!F38,8),IF($G$33=3,ROUND('Tabla de Amortizacion'!I38,8),IF($G$33=4,ROUND('Tabla de Amortizacion'!L38,8),IF($G$33=5,ROUND('Tabla de Amortizacion'!O38,8),IF($G$33=6,ROUND('Tabla de Amortizacion'!R38,8),ROUND('Tabla de Amortizacion'!U38,8)))))))</f>
        <v>0</v>
      </c>
      <c r="G64" s="203" t="s">
        <v>58</v>
      </c>
      <c r="H64" s="204"/>
      <c r="I64" s="204"/>
      <c r="J64" s="205"/>
      <c r="L64" s="19"/>
    </row>
    <row r="65" spans="1:12" ht="15" customHeight="1">
      <c r="A65" s="19"/>
      <c r="C65" s="170">
        <f>_XLL.FECHA.MES(C64,1)</f>
        <v>39828</v>
      </c>
      <c r="D65" s="51">
        <f>IF($G$33=1,ROUND('Tabla de Amortizacion'!B39,8),IF($G$33=2,ROUND('Tabla de Amortizacion'!E39,8),IF($G$33=3,ROUND('Tabla de Amortizacion'!H39,8),IF($G$33=4,ROUND('Tabla de Amortizacion'!K39,8),IF($G$33=5,ROUND('Tabla de Amortizacion'!N39,8),IF($G$33=6,ROUND('Tabla de Amortizacion'!Q39,8),ROUND('Tabla de Amortizacion'!T39,8)))))))</f>
        <v>0</v>
      </c>
      <c r="E65" s="51">
        <f>IF($G$33=1,ROUND('Tabla de Amortizacion'!C39,8),IF($G$33=2,ROUND('Tabla de Amortizacion'!F39,8),IF($G$33=3,ROUND('Tabla de Amortizacion'!I39,8),IF($G$33=4,ROUND('Tabla de Amortizacion'!L39,8),IF($G$33=5,ROUND('Tabla de Amortizacion'!O39,8),IF($G$33=6,ROUND('Tabla de Amortizacion'!R39,8),ROUND('Tabla de Amortizacion'!U39,8)))))))</f>
        <v>0</v>
      </c>
      <c r="G65" s="203" t="s">
        <v>86</v>
      </c>
      <c r="H65" s="204"/>
      <c r="I65" s="204"/>
      <c r="J65" s="205"/>
      <c r="L65" s="19"/>
    </row>
    <row r="66" spans="1:12" ht="15">
      <c r="A66" s="19"/>
      <c r="C66" s="170">
        <f>_XLL.FECHA.MES(C65,1)</f>
        <v>39859</v>
      </c>
      <c r="D66" s="51">
        <f>IF($G$33=1,ROUND('Tabla de Amortizacion'!B40,8),IF($G$33=2,ROUND('Tabla de Amortizacion'!E40,8),IF($G$33=3,ROUND('Tabla de Amortizacion'!H40,8),IF($G$33=4,ROUND('Tabla de Amortizacion'!K40,8),IF($G$33=5,ROUND('Tabla de Amortizacion'!N40,8),IF($G$33=6,ROUND('Tabla de Amortizacion'!Q40,8),ROUND('Tabla de Amortizacion'!T40,8)))))))</f>
        <v>0</v>
      </c>
      <c r="E66" s="51">
        <f>IF($G$33=1,ROUND('Tabla de Amortizacion'!C40,8),IF($G$33=2,ROUND('Tabla de Amortizacion'!F40,8),IF($G$33=3,ROUND('Tabla de Amortizacion'!I40,8),IF($G$33=4,ROUND('Tabla de Amortizacion'!L40,8),IF($G$33=5,ROUND('Tabla de Amortizacion'!O40,8),IF($G$33=6,ROUND('Tabla de Amortizacion'!R40,8),ROUND('Tabla de Amortizacion'!U40,8)))))))</f>
        <v>0</v>
      </c>
      <c r="G66" s="203" t="s">
        <v>57</v>
      </c>
      <c r="H66" s="204"/>
      <c r="I66" s="204"/>
      <c r="J66" s="205"/>
      <c r="L66" s="19"/>
    </row>
    <row r="67" spans="1:12" ht="15" customHeight="1">
      <c r="A67" s="19"/>
      <c r="C67" s="170">
        <f>_XLL.FECHA.MES(C66,1)</f>
        <v>39887</v>
      </c>
      <c r="D67" s="51">
        <f>IF($G$33=1,ROUND('Tabla de Amortizacion'!B41,8),IF($G$33=2,ROUND('Tabla de Amortizacion'!E41,8),IF($G$33=3,ROUND('Tabla de Amortizacion'!H41,8),IF($G$33=4,ROUND('Tabla de Amortizacion'!K41,8),IF($G$33=5,ROUND('Tabla de Amortizacion'!N41,8),IF($G$33=6,ROUND('Tabla de Amortizacion'!Q41,8),ROUND('Tabla de Amortizacion'!T41,8)))))))</f>
        <v>0</v>
      </c>
      <c r="E67" s="51">
        <f>IF($G$33=1,ROUND('Tabla de Amortizacion'!C41,8),IF($G$33=2,ROUND('Tabla de Amortizacion'!F41,8),IF($G$33=3,ROUND('Tabla de Amortizacion'!I41,8),IF($G$33=4,ROUND('Tabla de Amortizacion'!L41,8),IF($G$33=5,ROUND('Tabla de Amortizacion'!O41,8),IF($G$33=6,ROUND('Tabla de Amortizacion'!R41,8),ROUND('Tabla de Amortizacion'!U41,8)))))))</f>
        <v>0</v>
      </c>
      <c r="G67" s="203" t="s">
        <v>85</v>
      </c>
      <c r="H67" s="204"/>
      <c r="I67" s="204"/>
      <c r="J67" s="205"/>
      <c r="L67" s="19"/>
    </row>
    <row r="68" spans="1:12" ht="15" customHeight="1">
      <c r="A68" s="19"/>
      <c r="C68" s="170">
        <f>_XLL.FECHA.MES(C67,1)</f>
        <v>39918</v>
      </c>
      <c r="D68" s="51">
        <f>IF($G$33=1,ROUND('Tabla de Amortizacion'!B42,8),IF($G$33=2,ROUND('Tabla de Amortizacion'!E42,8),IF($G$33=3,ROUND('Tabla de Amortizacion'!H42,8),IF($G$33=4,ROUND('Tabla de Amortizacion'!K42,8),IF($G$33=5,ROUND('Tabla de Amortizacion'!N42,8),IF($G$33=6,ROUND('Tabla de Amortizacion'!Q42,8),ROUND('Tabla de Amortizacion'!T42,8)))))))</f>
        <v>0</v>
      </c>
      <c r="E68" s="51">
        <f>IF($G$33=1,ROUND('Tabla de Amortizacion'!C42,8),IF($G$33=2,ROUND('Tabla de Amortizacion'!F42,8),IF($G$33=3,ROUND('Tabla de Amortizacion'!I42,8),IF($G$33=4,ROUND('Tabla de Amortizacion'!L42,8),IF($G$33=5,ROUND('Tabla de Amortizacion'!O42,8),IF($G$33=6,ROUND('Tabla de Amortizacion'!R42,8),ROUND('Tabla de Amortizacion'!U42,8)))))))</f>
        <v>0</v>
      </c>
      <c r="G68" s="156" t="s">
        <v>53</v>
      </c>
      <c r="H68" s="157"/>
      <c r="I68" s="157"/>
      <c r="J68" s="158"/>
      <c r="L68" s="19"/>
    </row>
    <row r="69" spans="1:12" ht="15" customHeight="1">
      <c r="A69" s="19"/>
      <c r="C69" s="170">
        <f>_XLL.FECHA.MES(C68,1)</f>
        <v>39948</v>
      </c>
      <c r="D69" s="51">
        <f>IF($G$33=1,ROUND('Tabla de Amortizacion'!B43,8),IF($G$33=2,ROUND('Tabla de Amortizacion'!E43,8),IF($G$33=3,ROUND('Tabla de Amortizacion'!H43,8),IF($G$33=4,ROUND('Tabla de Amortizacion'!K43,8),IF($G$33=5,ROUND('Tabla de Amortizacion'!N43,8),IF($G$33=6,ROUND('Tabla de Amortizacion'!Q43,8),ROUND('Tabla de Amortizacion'!T43,8)))))))</f>
        <v>0</v>
      </c>
      <c r="E69" s="51">
        <f>IF($G$33=1,ROUND('Tabla de Amortizacion'!C43,8),IF($G$33=2,ROUND('Tabla de Amortizacion'!F43,8),IF($G$33=3,ROUND('Tabla de Amortizacion'!I43,8),IF($G$33=4,ROUND('Tabla de Amortizacion'!L43,8),IF($G$33=5,ROUND('Tabla de Amortizacion'!O43,8),IF($G$33=6,ROUND('Tabla de Amortizacion'!R43,8),ROUND('Tabla de Amortizacion'!U43,8)))))))</f>
        <v>0</v>
      </c>
      <c r="G69" s="203" t="s">
        <v>59</v>
      </c>
      <c r="H69" s="204"/>
      <c r="I69" s="204"/>
      <c r="J69" s="205"/>
      <c r="L69" s="19"/>
    </row>
    <row r="70" spans="1:12" ht="15" customHeight="1">
      <c r="A70" s="19"/>
      <c r="C70" s="170">
        <f>_XLL.FECHA.MES(C69,1)</f>
        <v>39979</v>
      </c>
      <c r="D70" s="51">
        <f>IF($G$33=1,ROUND('Tabla de Amortizacion'!B44,8),IF($G$33=2,ROUND('Tabla de Amortizacion'!E44,8),IF($G$33=3,ROUND('Tabla de Amortizacion'!H44,8),IF($G$33=4,ROUND('Tabla de Amortizacion'!K44,8),IF($G$33=5,ROUND('Tabla de Amortizacion'!N44,8),IF($G$33=6,ROUND('Tabla de Amortizacion'!Q44,8),ROUND('Tabla de Amortizacion'!T44,8)))))))</f>
        <v>0</v>
      </c>
      <c r="E70" s="51">
        <f>IF($G$33=1,ROUND('Tabla de Amortizacion'!C44,8),IF($G$33=2,ROUND('Tabla de Amortizacion'!F44,8),IF($G$33=3,ROUND('Tabla de Amortizacion'!I44,8),IF($G$33=4,ROUND('Tabla de Amortizacion'!L44,8),IF($G$33=5,ROUND('Tabla de Amortizacion'!O44,8),IF($G$33=6,ROUND('Tabla de Amortizacion'!R44,8),ROUND('Tabla de Amortizacion'!U44,8)))))))</f>
        <v>0</v>
      </c>
      <c r="G70" s="203" t="s">
        <v>86</v>
      </c>
      <c r="H70" s="204"/>
      <c r="I70" s="204"/>
      <c r="J70" s="205"/>
      <c r="L70" s="19"/>
    </row>
    <row r="71" spans="1:12" ht="15">
      <c r="A71" s="19"/>
      <c r="C71" s="170">
        <f>_XLL.FECHA.MES(C70,1)</f>
        <v>40009</v>
      </c>
      <c r="D71" s="51">
        <f>IF($G$33=1,ROUND('Tabla de Amortizacion'!B45,8),IF($G$33=2,ROUND('Tabla de Amortizacion'!E45,8),IF($G$33=3,ROUND('Tabla de Amortizacion'!H45,8),IF($G$33=4,ROUND('Tabla de Amortizacion'!K45,8),IF($G$33=5,ROUND('Tabla de Amortizacion'!N45,8),IF($G$33=6,ROUND('Tabla de Amortizacion'!Q45,8),ROUND('Tabla de Amortizacion'!T45,8)))))))</f>
        <v>0</v>
      </c>
      <c r="E71" s="51">
        <f>IF($G$33=1,ROUND('Tabla de Amortizacion'!C45,8),IF($G$33=2,ROUND('Tabla de Amortizacion'!F45,8),IF($G$33=3,ROUND('Tabla de Amortizacion'!I45,8),IF($G$33=4,ROUND('Tabla de Amortizacion'!L45,8),IF($G$33=5,ROUND('Tabla de Amortizacion'!O45,8),IF($G$33=6,ROUND('Tabla de Amortizacion'!R45,8),ROUND('Tabla de Amortizacion'!U45,8)))))))</f>
        <v>0</v>
      </c>
      <c r="G71" s="203" t="s">
        <v>57</v>
      </c>
      <c r="H71" s="204"/>
      <c r="I71" s="204"/>
      <c r="J71" s="205"/>
      <c r="L71" s="19"/>
    </row>
    <row r="72" spans="1:12" ht="15">
      <c r="A72" s="19"/>
      <c r="C72" s="170">
        <f>_XLL.FECHA.MES(C71,1)</f>
        <v>40040</v>
      </c>
      <c r="D72" s="51">
        <f>IF($G$33=1,ROUND('Tabla de Amortizacion'!B46,8),IF($G$33=2,ROUND('Tabla de Amortizacion'!E46,8),IF($G$33=3,ROUND('Tabla de Amortizacion'!H46,8),IF($G$33=4,ROUND('Tabla de Amortizacion'!K46,8),IF($G$33=5,ROUND('Tabla de Amortizacion'!N46,8),IF($G$33=6,ROUND('Tabla de Amortizacion'!Q46,8),ROUND('Tabla de Amortizacion'!T46,8)))))))</f>
        <v>0</v>
      </c>
      <c r="E72" s="51">
        <f>IF($G$33=1,ROUND('Tabla de Amortizacion'!C46,8),IF($G$33=2,ROUND('Tabla de Amortizacion'!F46,8),IF($G$33=3,ROUND('Tabla de Amortizacion'!I46,8),IF($G$33=4,ROUND('Tabla de Amortizacion'!L46,8),IF($G$33=5,ROUND('Tabla de Amortizacion'!O46,8),IF($G$33=6,ROUND('Tabla de Amortizacion'!R46,8),ROUND('Tabla de Amortizacion'!U46,8)))))))</f>
        <v>0</v>
      </c>
      <c r="G72" s="214" t="s">
        <v>85</v>
      </c>
      <c r="H72" s="215"/>
      <c r="I72" s="215"/>
      <c r="J72" s="216"/>
      <c r="L72" s="19"/>
    </row>
    <row r="73" spans="1:12" ht="15">
      <c r="A73" s="19"/>
      <c r="C73" s="170">
        <f>_XLL.FECHA.MES(C72,1)</f>
        <v>40071</v>
      </c>
      <c r="D73" s="51">
        <f>IF($G$33=1,ROUND('Tabla de Amortizacion'!B47,8),IF($G$33=2,ROUND('Tabla de Amortizacion'!E47,8),IF($G$33=3,ROUND('Tabla de Amortizacion'!H47,8),IF($G$33=4,ROUND('Tabla de Amortizacion'!K47,8),IF($G$33=5,ROUND('Tabla de Amortizacion'!N47,8),IF($G$33=6,ROUND('Tabla de Amortizacion'!Q47,8),ROUND('Tabla de Amortizacion'!T47,8)))))))</f>
        <v>0</v>
      </c>
      <c r="E73" s="51">
        <f>IF($G$33=1,ROUND('Tabla de Amortizacion'!C47,8),IF($G$33=2,ROUND('Tabla de Amortizacion'!F47,8),IF($G$33=3,ROUND('Tabla de Amortizacion'!I47,8),IF($G$33=4,ROUND('Tabla de Amortizacion'!L47,8),IF($G$33=5,ROUND('Tabla de Amortizacion'!O47,8),IF($G$33=6,ROUND('Tabla de Amortizacion'!R47,8),ROUND('Tabla de Amortizacion'!U47,8)))))))</f>
        <v>0</v>
      </c>
      <c r="G73" s="36"/>
      <c r="H73" s="36"/>
      <c r="I73" s="36"/>
      <c r="J73" s="36"/>
      <c r="L73" s="19"/>
    </row>
    <row r="74" spans="1:12" ht="15">
      <c r="A74" s="19"/>
      <c r="C74" s="170">
        <f>_XLL.FECHA.MES(C73,1)</f>
        <v>40101</v>
      </c>
      <c r="D74" s="51">
        <f>IF($G$33=1,ROUND('Tabla de Amortizacion'!B48,8),IF($G$33=2,ROUND('Tabla de Amortizacion'!E48,8),IF($G$33=3,ROUND('Tabla de Amortizacion'!H48,8),IF($G$33=4,ROUND('Tabla de Amortizacion'!K48,8),IF($G$33=5,ROUND('Tabla de Amortizacion'!N48,8),IF($G$33=6,ROUND('Tabla de Amortizacion'!Q48,8),ROUND('Tabla de Amortizacion'!T48,8)))))))</f>
        <v>0</v>
      </c>
      <c r="E74" s="51">
        <f>IF($G$33=1,ROUND('Tabla de Amortizacion'!C48,8),IF($G$33=2,ROUND('Tabla de Amortizacion'!F48,8),IF($G$33=3,ROUND('Tabla de Amortizacion'!I48,8),IF($G$33=4,ROUND('Tabla de Amortizacion'!L48,8),IF($G$33=5,ROUND('Tabla de Amortizacion'!O48,8),IF($G$33=6,ROUND('Tabla de Amortizacion'!R48,8),ROUND('Tabla de Amortizacion'!U48,8)))))))</f>
        <v>0</v>
      </c>
      <c r="G74" s="36"/>
      <c r="H74" s="36"/>
      <c r="I74" s="36"/>
      <c r="J74" s="36"/>
      <c r="L74" s="19"/>
    </row>
    <row r="75" spans="1:12" ht="15">
      <c r="A75" s="19"/>
      <c r="C75" s="170">
        <f>_XLL.FECHA.MES(C74,1)</f>
        <v>40132</v>
      </c>
      <c r="D75" s="51">
        <f>IF($G$33=1,ROUND('Tabla de Amortizacion'!B49,8),IF($G$33=2,ROUND('Tabla de Amortizacion'!E49,8),IF($G$33=3,ROUND('Tabla de Amortizacion'!H49,8),IF($G$33=4,ROUND('Tabla de Amortizacion'!K49,8),IF($G$33=5,ROUND('Tabla de Amortizacion'!N49,8),IF($G$33=6,ROUND('Tabla de Amortizacion'!Q49,8),ROUND('Tabla de Amortizacion'!T49,8)))))))</f>
        <v>0</v>
      </c>
      <c r="E75" s="51">
        <f>IF($G$33=1,ROUND('Tabla de Amortizacion'!C49,8),IF($G$33=2,ROUND('Tabla de Amortizacion'!F49,8),IF($G$33=3,ROUND('Tabla de Amortizacion'!I49,8),IF($G$33=4,ROUND('Tabla de Amortizacion'!L49,8),IF($G$33=5,ROUND('Tabla de Amortizacion'!O49,8),IF($G$33=6,ROUND('Tabla de Amortizacion'!R49,8),ROUND('Tabla de Amortizacion'!U49,8)))))))</f>
        <v>0</v>
      </c>
      <c r="G75" s="36"/>
      <c r="H75" s="36"/>
      <c r="I75" s="36"/>
      <c r="J75" s="36"/>
      <c r="L75" s="19"/>
    </row>
    <row r="76" spans="1:12" ht="15">
      <c r="A76" s="19"/>
      <c r="C76" s="170">
        <f>_XLL.FECHA.MES(C75,1)</f>
        <v>40162</v>
      </c>
      <c r="D76" s="51">
        <f>IF($G$33=1,ROUND('Tabla de Amortizacion'!B50,8),IF($G$33=2,ROUND('Tabla de Amortizacion'!E50,8),IF($G$33=3,ROUND('Tabla de Amortizacion'!H50,8),IF($G$33=4,ROUND('Tabla de Amortizacion'!K50,8),IF($G$33=5,ROUND('Tabla de Amortizacion'!N50,8),IF($G$33=6,ROUND('Tabla de Amortizacion'!Q50,8),ROUND('Tabla de Amortizacion'!T50,8)))))))</f>
        <v>0</v>
      </c>
      <c r="E76" s="51">
        <f>IF($G$33=1,ROUND('Tabla de Amortizacion'!C50,8),IF($G$33=2,ROUND('Tabla de Amortizacion'!F50,8),IF($G$33=3,ROUND('Tabla de Amortizacion'!I50,8),IF($G$33=4,ROUND('Tabla de Amortizacion'!L50,8),IF($G$33=5,ROUND('Tabla de Amortizacion'!O50,8),IF($G$33=6,ROUND('Tabla de Amortizacion'!R50,8),ROUND('Tabla de Amortizacion'!U50,8)))))))</f>
        <v>0</v>
      </c>
      <c r="G76" s="36"/>
      <c r="H76" s="36"/>
      <c r="I76" s="36"/>
      <c r="J76" s="36"/>
      <c r="L76" s="19"/>
    </row>
    <row r="77" spans="1:12" ht="15">
      <c r="A77" s="19"/>
      <c r="C77" s="170">
        <f>_XLL.FECHA.MES(C76,1)</f>
        <v>40193</v>
      </c>
      <c r="D77" s="51">
        <f>IF($G$33=1,ROUND('Tabla de Amortizacion'!B51,8),IF($G$33=2,ROUND('Tabla de Amortizacion'!E51,8),IF($G$33=3,ROUND('Tabla de Amortizacion'!H51,8),IF($G$33=4,ROUND('Tabla de Amortizacion'!K51,8),IF($G$33=5,ROUND('Tabla de Amortizacion'!N51,8),IF($G$33=6,ROUND('Tabla de Amortizacion'!Q51,8),ROUND('Tabla de Amortizacion'!T51,8)))))))</f>
        <v>0</v>
      </c>
      <c r="E77" s="51">
        <f>IF($G$33=1,ROUND('Tabla de Amortizacion'!C51,8),IF($G$33=2,ROUND('Tabla de Amortizacion'!F51,8),IF($G$33=3,ROUND('Tabla de Amortizacion'!I51,8),IF($G$33=4,ROUND('Tabla de Amortizacion'!L51,8),IF($G$33=5,ROUND('Tabla de Amortizacion'!O51,8),IF($G$33=6,ROUND('Tabla de Amortizacion'!R51,8),ROUND('Tabla de Amortizacion'!U51,8)))))))</f>
        <v>0</v>
      </c>
      <c r="G77" s="36"/>
      <c r="H77" s="36"/>
      <c r="I77" s="36"/>
      <c r="J77" s="36"/>
      <c r="L77" s="19"/>
    </row>
    <row r="78" spans="1:12" ht="15">
      <c r="A78" s="19"/>
      <c r="C78" s="170">
        <f>_XLL.FECHA.MES(C77,1)</f>
        <v>40224</v>
      </c>
      <c r="D78" s="51">
        <f>IF($G$33=1,ROUND('Tabla de Amortizacion'!B52,8),IF($G$33=2,ROUND('Tabla de Amortizacion'!E52,8),IF($G$33=3,ROUND('Tabla de Amortizacion'!H52,8),IF($G$33=4,ROUND('Tabla de Amortizacion'!K52,8),IF($G$33=5,ROUND('Tabla de Amortizacion'!N52,8),IF($G$33=6,ROUND('Tabla de Amortizacion'!Q52,8),ROUND('Tabla de Amortizacion'!T52,8)))))))</f>
        <v>0</v>
      </c>
      <c r="E78" s="51">
        <f>IF($G$33=1,ROUND('Tabla de Amortizacion'!C52,8),IF($G$33=2,ROUND('Tabla de Amortizacion'!F52,8),IF($G$33=3,ROUND('Tabla de Amortizacion'!I52,8),IF($G$33=4,ROUND('Tabla de Amortizacion'!L52,8),IF($G$33=5,ROUND('Tabla de Amortizacion'!O52,8),IF($G$33=6,ROUND('Tabla de Amortizacion'!R52,8),ROUND('Tabla de Amortizacion'!U52,8)))))))</f>
        <v>0</v>
      </c>
      <c r="G78" s="36"/>
      <c r="H78" s="36"/>
      <c r="I78" s="36"/>
      <c r="J78" s="36"/>
      <c r="L78" s="19"/>
    </row>
    <row r="79" spans="1:12" ht="15">
      <c r="A79" s="19"/>
      <c r="C79" s="170">
        <f>_XLL.FECHA.MES(C78,1)</f>
        <v>40252</v>
      </c>
      <c r="D79" s="51">
        <f>IF($G$33=1,ROUND('Tabla de Amortizacion'!B53,8),IF($G$33=2,ROUND('Tabla de Amortizacion'!E53,8),IF($G$33=3,ROUND('Tabla de Amortizacion'!H53,8),IF($G$33=4,ROUND('Tabla de Amortizacion'!K53,8),IF($G$33=5,ROUND('Tabla de Amortizacion'!N53,8),IF($G$33=6,ROUND('Tabla de Amortizacion'!Q53,8),ROUND('Tabla de Amortizacion'!T53,8)))))))</f>
        <v>0</v>
      </c>
      <c r="E79" s="51">
        <f>IF($G$33=1,ROUND('Tabla de Amortizacion'!C53,8),IF($G$33=2,ROUND('Tabla de Amortizacion'!F53,8),IF($G$33=3,ROUND('Tabla de Amortizacion'!I53,8),IF($G$33=4,ROUND('Tabla de Amortizacion'!L53,8),IF($G$33=5,ROUND('Tabla de Amortizacion'!O53,8),IF($G$33=6,ROUND('Tabla de Amortizacion'!R53,8),ROUND('Tabla de Amortizacion'!U53,8)))))))</f>
        <v>0</v>
      </c>
      <c r="G79" s="36"/>
      <c r="H79" s="36"/>
      <c r="I79" s="36"/>
      <c r="J79" s="36"/>
      <c r="L79" s="19"/>
    </row>
    <row r="80" spans="1:12" ht="15">
      <c r="A80" s="19"/>
      <c r="C80" s="170">
        <f>_XLL.FECHA.MES(C79,1)</f>
        <v>40283</v>
      </c>
      <c r="D80" s="51">
        <f>IF($G$33=1,ROUND('Tabla de Amortizacion'!B54,8),IF($G$33=2,ROUND('Tabla de Amortizacion'!E54,8),IF($G$33=3,ROUND('Tabla de Amortizacion'!H54,8),IF($G$33=4,ROUND('Tabla de Amortizacion'!K54,8),IF($G$33=5,ROUND('Tabla de Amortizacion'!N54,8),IF($G$33=6,ROUND('Tabla de Amortizacion'!Q54,8),ROUND('Tabla de Amortizacion'!T54,8)))))))</f>
        <v>0</v>
      </c>
      <c r="E80" s="51">
        <f>IF($G$33=1,ROUND('Tabla de Amortizacion'!C54,8),IF($G$33=2,ROUND('Tabla de Amortizacion'!F54,8),IF($G$33=3,ROUND('Tabla de Amortizacion'!I54,8),IF($G$33=4,ROUND('Tabla de Amortizacion'!L54,8),IF($G$33=5,ROUND('Tabla de Amortizacion'!O54,8),IF($G$33=6,ROUND('Tabla de Amortizacion'!R54,8),ROUND('Tabla de Amortizacion'!U54,8)))))))</f>
        <v>0</v>
      </c>
      <c r="G80" s="36"/>
      <c r="H80" s="36"/>
      <c r="I80" s="36"/>
      <c r="J80" s="36"/>
      <c r="L80" s="19"/>
    </row>
    <row r="81" spans="1:12" ht="15">
      <c r="A81" s="19"/>
      <c r="C81" s="170">
        <f>_XLL.FECHA.MES(C80,1)</f>
        <v>40313</v>
      </c>
      <c r="D81" s="51">
        <f>IF($G$33=1,ROUND('Tabla de Amortizacion'!B55,8),IF($G$33=2,ROUND('Tabla de Amortizacion'!E55,8),IF($G$33=3,ROUND('Tabla de Amortizacion'!H55,8),IF($G$33=4,ROUND('Tabla de Amortizacion'!K55,8),IF($G$33=5,ROUND('Tabla de Amortizacion'!N55,8),IF($G$33=6,ROUND('Tabla de Amortizacion'!Q55,8),ROUND('Tabla de Amortizacion'!T55,8)))))))</f>
        <v>0</v>
      </c>
      <c r="E81" s="51">
        <f>IF($G$33=1,ROUND('Tabla de Amortizacion'!C55,8),IF($G$33=2,ROUND('Tabla de Amortizacion'!F55,8),IF($G$33=3,ROUND('Tabla de Amortizacion'!I55,8),IF($G$33=4,ROUND('Tabla de Amortizacion'!L55,8),IF($G$33=5,ROUND('Tabla de Amortizacion'!O55,8),IF($G$33=6,ROUND('Tabla de Amortizacion'!R55,8),ROUND('Tabla de Amortizacion'!U55,8)))))))</f>
        <v>0</v>
      </c>
      <c r="G81" s="36"/>
      <c r="H81" s="36"/>
      <c r="I81" s="36"/>
      <c r="J81" s="36"/>
      <c r="L81" s="19"/>
    </row>
    <row r="82" spans="1:12" ht="15">
      <c r="A82" s="19"/>
      <c r="C82" s="170">
        <f>_XLL.FECHA.MES(C81,1)</f>
        <v>40344</v>
      </c>
      <c r="D82" s="51">
        <f>IF($G$33=1,ROUND('Tabla de Amortizacion'!B56,8),IF($G$33=2,ROUND('Tabla de Amortizacion'!E56,8),IF($G$33=3,ROUND('Tabla de Amortizacion'!H56,8),IF($G$33=4,ROUND('Tabla de Amortizacion'!K56,8),IF($G$33=5,ROUND('Tabla de Amortizacion'!N56,8),IF($G$33=6,ROUND('Tabla de Amortizacion'!Q56,8),ROUND('Tabla de Amortizacion'!T56,8)))))))</f>
        <v>0</v>
      </c>
      <c r="E82" s="51">
        <f>IF($G$33=1,ROUND('Tabla de Amortizacion'!C56,8),IF($G$33=2,ROUND('Tabla de Amortizacion'!F56,8),IF($G$33=3,ROUND('Tabla de Amortizacion'!I56,8),IF($G$33=4,ROUND('Tabla de Amortizacion'!L56,8),IF($G$33=5,ROUND('Tabla de Amortizacion'!O56,8),IF($G$33=6,ROUND('Tabla de Amortizacion'!R56,8),ROUND('Tabla de Amortizacion'!U56,8)))))))</f>
        <v>0</v>
      </c>
      <c r="G82" s="36"/>
      <c r="H82" s="36"/>
      <c r="I82" s="36"/>
      <c r="J82" s="36"/>
      <c r="L82" s="19"/>
    </row>
    <row r="83" spans="1:12" ht="15">
      <c r="A83" s="19"/>
      <c r="C83" s="170">
        <f>_XLL.FECHA.MES(C82,1)</f>
        <v>40374</v>
      </c>
      <c r="D83" s="51">
        <f>IF($G$33=1,ROUND('Tabla de Amortizacion'!B57,8),IF($G$33=2,ROUND('Tabla de Amortizacion'!E57,8),IF($G$33=3,ROUND('Tabla de Amortizacion'!H57,8),IF($G$33=4,ROUND('Tabla de Amortizacion'!K57,8),IF($G$33=5,ROUND('Tabla de Amortizacion'!N57,8),IF($G$33=6,ROUND('Tabla de Amortizacion'!Q57,8),ROUND('Tabla de Amortizacion'!T57,8)))))))</f>
        <v>0</v>
      </c>
      <c r="E83" s="51">
        <f>IF($G$33=1,ROUND('Tabla de Amortizacion'!C57,8),IF($G$33=2,ROUND('Tabla de Amortizacion'!F57,8),IF($G$33=3,ROUND('Tabla de Amortizacion'!I57,8),IF($G$33=4,ROUND('Tabla de Amortizacion'!L57,8),IF($G$33=5,ROUND('Tabla de Amortizacion'!O57,8),IF($G$33=6,ROUND('Tabla de Amortizacion'!R57,8),ROUND('Tabla de Amortizacion'!U57,8)))))))</f>
        <v>0</v>
      </c>
      <c r="G83" s="36"/>
      <c r="H83" s="36"/>
      <c r="I83" s="36"/>
      <c r="J83" s="36"/>
      <c r="L83" s="19"/>
    </row>
    <row r="84" spans="1:12" ht="15">
      <c r="A84" s="19"/>
      <c r="C84" s="170">
        <f>_XLL.FECHA.MES(C83,1)</f>
        <v>40405</v>
      </c>
      <c r="D84" s="51">
        <f>IF($G$33=1,ROUND('Tabla de Amortizacion'!B58,8),IF($G$33=2,ROUND('Tabla de Amortizacion'!E58,8),IF($G$33=3,ROUND('Tabla de Amortizacion'!H58,8),IF($G$33=4,ROUND('Tabla de Amortizacion'!K58,8),IF($G$33=5,ROUND('Tabla de Amortizacion'!N58,8),IF($G$33=6,ROUND('Tabla de Amortizacion'!Q58,8),ROUND('Tabla de Amortizacion'!T58,8)))))))</f>
        <v>0</v>
      </c>
      <c r="E84" s="51">
        <f>IF($G$33=1,ROUND('Tabla de Amortizacion'!C58,8),IF($G$33=2,ROUND('Tabla de Amortizacion'!F58,8),IF($G$33=3,ROUND('Tabla de Amortizacion'!I58,8),IF($G$33=4,ROUND('Tabla de Amortizacion'!L58,8),IF($G$33=5,ROUND('Tabla de Amortizacion'!O58,8),IF($G$33=6,ROUND('Tabla de Amortizacion'!R58,8),ROUND('Tabla de Amortizacion'!U58,8)))))))</f>
        <v>0</v>
      </c>
      <c r="G84" s="36"/>
      <c r="H84" s="36"/>
      <c r="I84" s="36"/>
      <c r="J84" s="36"/>
      <c r="L84" s="19"/>
    </row>
    <row r="85" spans="1:12" ht="15">
      <c r="A85" s="19"/>
      <c r="C85" s="170">
        <f>_XLL.FECHA.MES(C84,1)</f>
        <v>40436</v>
      </c>
      <c r="D85" s="51">
        <f>IF($G$33=1,ROUND('Tabla de Amortizacion'!B59,8),IF($G$33=2,ROUND('Tabla de Amortizacion'!E59,8),IF($G$33=3,ROUND('Tabla de Amortizacion'!H59,8),IF($G$33=4,ROUND('Tabla de Amortizacion'!K59,8),IF($G$33=5,ROUND('Tabla de Amortizacion'!N59,8),IF($G$33=6,ROUND('Tabla de Amortizacion'!Q59,8),ROUND('Tabla de Amortizacion'!T59,8)))))))</f>
        <v>0</v>
      </c>
      <c r="E85" s="51">
        <f>IF($G$33=1,ROUND('Tabla de Amortizacion'!C59,8),IF($G$33=2,ROUND('Tabla de Amortizacion'!F59,8),IF($G$33=3,ROUND('Tabla de Amortizacion'!I59,8),IF($G$33=4,ROUND('Tabla de Amortizacion'!L59,8),IF($G$33=5,ROUND('Tabla de Amortizacion'!O59,8),IF($G$33=6,ROUND('Tabla de Amortizacion'!R59,8),ROUND('Tabla de Amortizacion'!U59,8)))))))</f>
        <v>0</v>
      </c>
      <c r="G85" s="36"/>
      <c r="H85" s="36"/>
      <c r="I85" s="36"/>
      <c r="J85" s="36"/>
      <c r="L85" s="19"/>
    </row>
    <row r="86" spans="1:12" ht="15">
      <c r="A86" s="19"/>
      <c r="C86" s="170">
        <f>_XLL.FECHA.MES(C85,1)</f>
        <v>40466</v>
      </c>
      <c r="D86" s="51">
        <f>IF($G$33=1,ROUND('Tabla de Amortizacion'!B60,8),IF($G$33=2,ROUND('Tabla de Amortizacion'!E60,8),IF($G$33=3,ROUND('Tabla de Amortizacion'!H60,8),IF($G$33=4,ROUND('Tabla de Amortizacion'!K60,8),IF($G$33=5,ROUND('Tabla de Amortizacion'!N60,8),IF($G$33=6,ROUND('Tabla de Amortizacion'!Q60,8),ROUND('Tabla de Amortizacion'!T60,8)))))))</f>
        <v>0</v>
      </c>
      <c r="E86" s="51">
        <f>IF($G$33=1,ROUND('Tabla de Amortizacion'!C60,8),IF($G$33=2,ROUND('Tabla de Amortizacion'!F60,8),IF($G$33=3,ROUND('Tabla de Amortizacion'!I60,8),IF($G$33=4,ROUND('Tabla de Amortizacion'!L60,8),IF($G$33=5,ROUND('Tabla de Amortizacion'!O60,8),IF($G$33=6,ROUND('Tabla de Amortizacion'!R60,8),ROUND('Tabla de Amortizacion'!U60,8)))))))</f>
        <v>0</v>
      </c>
      <c r="G86" s="36"/>
      <c r="H86" s="36"/>
      <c r="I86" s="36"/>
      <c r="J86" s="36"/>
      <c r="L86" s="19"/>
    </row>
    <row r="87" spans="1:12" ht="15">
      <c r="A87" s="19"/>
      <c r="C87" s="170">
        <f>_XLL.FECHA.MES(C86,1)</f>
        <v>40497</v>
      </c>
      <c r="D87" s="51">
        <f>IF($G$33=1,ROUND('Tabla de Amortizacion'!B61,8),IF($G$33=2,ROUND('Tabla de Amortizacion'!E61,8),IF($G$33=3,ROUND('Tabla de Amortizacion'!H61,8),IF($G$33=4,ROUND('Tabla de Amortizacion'!K61,8),IF($G$33=5,ROUND('Tabla de Amortizacion'!N61,8),IF($G$33=6,ROUND('Tabla de Amortizacion'!Q61,8),ROUND('Tabla de Amortizacion'!T61,8)))))))</f>
        <v>0</v>
      </c>
      <c r="E87" s="51">
        <f>IF($G$33=1,ROUND('Tabla de Amortizacion'!C61,8),IF($G$33=2,ROUND('Tabla de Amortizacion'!F61,8),IF($G$33=3,ROUND('Tabla de Amortizacion'!I61,8),IF($G$33=4,ROUND('Tabla de Amortizacion'!L61,8),IF($G$33=5,ROUND('Tabla de Amortizacion'!O61,8),IF($G$33=6,ROUND('Tabla de Amortizacion'!R61,8),ROUND('Tabla de Amortizacion'!U61,8)))))))</f>
        <v>0</v>
      </c>
      <c r="G87" s="36"/>
      <c r="H87" s="36"/>
      <c r="I87" s="36"/>
      <c r="J87" s="36"/>
      <c r="L87" s="19"/>
    </row>
    <row r="88" spans="1:12" ht="15">
      <c r="A88" s="19"/>
      <c r="C88" s="170">
        <f>_XLL.FECHA.MES(C87,1)</f>
        <v>40527</v>
      </c>
      <c r="D88" s="51">
        <f>IF($G$33=1,ROUND('Tabla de Amortizacion'!B62,8),IF($G$33=2,ROUND('Tabla de Amortizacion'!E62,8),IF($G$33=3,ROUND('Tabla de Amortizacion'!H62,8),IF($G$33=4,ROUND('Tabla de Amortizacion'!K62,8),IF($G$33=5,ROUND('Tabla de Amortizacion'!N62,8),IF($G$33=6,ROUND('Tabla de Amortizacion'!Q62,8),ROUND('Tabla de Amortizacion'!T62,8)))))))</f>
        <v>0</v>
      </c>
      <c r="E88" s="51">
        <f>IF($G$33=1,ROUND('Tabla de Amortizacion'!C62,8),IF($G$33=2,ROUND('Tabla de Amortizacion'!F62,8),IF($G$33=3,ROUND('Tabla de Amortizacion'!I62,8),IF($G$33=4,ROUND('Tabla de Amortizacion'!L62,8),IF($G$33=5,ROUND('Tabla de Amortizacion'!O62,8),IF($G$33=6,ROUND('Tabla de Amortizacion'!R62,8),ROUND('Tabla de Amortizacion'!U62,8)))))))</f>
        <v>0</v>
      </c>
      <c r="G88" s="36"/>
      <c r="H88" s="36"/>
      <c r="I88" s="36"/>
      <c r="J88" s="36"/>
      <c r="L88" s="19"/>
    </row>
    <row r="89" spans="1:12" ht="15">
      <c r="A89" s="19"/>
      <c r="C89" s="170">
        <f>_XLL.FECHA.MES(C88,1)</f>
        <v>40558</v>
      </c>
      <c r="D89" s="51">
        <f>IF($G$33=1,ROUND('Tabla de Amortizacion'!B63,8),IF($G$33=2,ROUND('Tabla de Amortizacion'!E63,8),IF($G$33=3,ROUND('Tabla de Amortizacion'!H63,8),IF($G$33=4,ROUND('Tabla de Amortizacion'!K63,8),IF($G$33=5,ROUND('Tabla de Amortizacion'!N63,8),IF($G$33=6,ROUND('Tabla de Amortizacion'!Q63,8),ROUND('Tabla de Amortizacion'!T63,8)))))))</f>
        <v>0</v>
      </c>
      <c r="E89" s="51">
        <f>IF($G$33=1,ROUND('Tabla de Amortizacion'!C63,8),IF($G$33=2,ROUND('Tabla de Amortizacion'!F63,8),IF($G$33=3,ROUND('Tabla de Amortizacion'!I63,8),IF($G$33=4,ROUND('Tabla de Amortizacion'!L63,8),IF($G$33=5,ROUND('Tabla de Amortizacion'!O63,8),IF($G$33=6,ROUND('Tabla de Amortizacion'!R63,8),ROUND('Tabla de Amortizacion'!U63,8)))))))</f>
        <v>0</v>
      </c>
      <c r="G89" s="36"/>
      <c r="H89" s="36"/>
      <c r="I89" s="36"/>
      <c r="J89" s="36"/>
      <c r="L89" s="19"/>
    </row>
    <row r="90" spans="1:12" ht="15">
      <c r="A90" s="19"/>
      <c r="C90" s="170">
        <f>_XLL.FECHA.MES(C89,1)</f>
        <v>40589</v>
      </c>
      <c r="D90" s="51">
        <f>IF($G$33=1,ROUND('Tabla de Amortizacion'!B64,8),IF($G$33=2,ROUND('Tabla de Amortizacion'!E64,8),IF($G$33=3,ROUND('Tabla de Amortizacion'!H64,8),IF($G$33=4,ROUND('Tabla de Amortizacion'!K64,8),IF($G$33=5,ROUND('Tabla de Amortizacion'!N64,8),IF($G$33=6,ROUND('Tabla de Amortizacion'!Q64,8),ROUND('Tabla de Amortizacion'!T64,8)))))))</f>
        <v>0</v>
      </c>
      <c r="E90" s="51">
        <f>IF($G$33=1,ROUND('Tabla de Amortizacion'!C64,8),IF($G$33=2,ROUND('Tabla de Amortizacion'!F64,8),IF($G$33=3,ROUND('Tabla de Amortizacion'!I64,8),IF($G$33=4,ROUND('Tabla de Amortizacion'!L64,8),IF($G$33=5,ROUND('Tabla de Amortizacion'!O64,8),IF($G$33=6,ROUND('Tabla de Amortizacion'!R64,8),ROUND('Tabla de Amortizacion'!U64,8)))))))</f>
        <v>0</v>
      </c>
      <c r="G90" s="36"/>
      <c r="H90" s="36"/>
      <c r="I90" s="36"/>
      <c r="J90" s="36"/>
      <c r="L90" s="19"/>
    </row>
    <row r="91" spans="1:12" ht="15">
      <c r="A91" s="19"/>
      <c r="C91" s="170">
        <f>_XLL.FECHA.MES(C90,1)</f>
        <v>40617</v>
      </c>
      <c r="D91" s="51">
        <f>IF($G$33=1,ROUND('Tabla de Amortizacion'!B65,8),IF($G$33=2,ROUND('Tabla de Amortizacion'!E65,8),IF($G$33=3,ROUND('Tabla de Amortizacion'!H65,8),IF($G$33=4,ROUND('Tabla de Amortizacion'!K65,8),IF($G$33=5,ROUND('Tabla de Amortizacion'!N65,8),IF($G$33=6,ROUND('Tabla de Amortizacion'!Q65,8),ROUND('Tabla de Amortizacion'!T65,8)))))))</f>
        <v>0</v>
      </c>
      <c r="E91" s="51">
        <f>IF($G$33=1,ROUND('Tabla de Amortizacion'!C65,8),IF($G$33=2,ROUND('Tabla de Amortizacion'!F65,8),IF($G$33=3,ROUND('Tabla de Amortizacion'!I65,8),IF($G$33=4,ROUND('Tabla de Amortizacion'!L65,8),IF($G$33=5,ROUND('Tabla de Amortizacion'!O65,8),IF($G$33=6,ROUND('Tabla de Amortizacion'!R65,8),ROUND('Tabla de Amortizacion'!U65,8)))))))</f>
        <v>0</v>
      </c>
      <c r="G91" s="36"/>
      <c r="H91" s="36"/>
      <c r="I91" s="36"/>
      <c r="J91" s="36"/>
      <c r="L91" s="19"/>
    </row>
    <row r="92" spans="1:12" ht="15">
      <c r="A92" s="19"/>
      <c r="C92" s="170">
        <f>_XLL.FECHA.MES(C91,1)</f>
        <v>40648</v>
      </c>
      <c r="D92" s="51">
        <f>IF($G$33=1,ROUND('Tabla de Amortizacion'!B66,8),IF($G$33=2,ROUND('Tabla de Amortizacion'!E66,8),IF($G$33=3,ROUND('Tabla de Amortizacion'!H66,8),IF($G$33=4,ROUND('Tabla de Amortizacion'!K66,8),IF($G$33=5,ROUND('Tabla de Amortizacion'!N66,8),IF($G$33=6,ROUND('Tabla de Amortizacion'!Q66,8),ROUND('Tabla de Amortizacion'!T66,8)))))))</f>
        <v>0</v>
      </c>
      <c r="E92" s="51">
        <f>IF($G$33=1,ROUND('Tabla de Amortizacion'!C66,8),IF($G$33=2,ROUND('Tabla de Amortizacion'!F66,8),IF($G$33=3,ROUND('Tabla de Amortizacion'!I66,8),IF($G$33=4,ROUND('Tabla de Amortizacion'!L66,8),IF($G$33=5,ROUND('Tabla de Amortizacion'!O66,8),IF($G$33=6,ROUND('Tabla de Amortizacion'!R66,8),ROUND('Tabla de Amortizacion'!U66,8)))))))</f>
        <v>0</v>
      </c>
      <c r="G92" s="36"/>
      <c r="H92" s="36"/>
      <c r="I92" s="36"/>
      <c r="J92" s="36"/>
      <c r="L92" s="19"/>
    </row>
    <row r="93" spans="1:12" ht="15">
      <c r="A93" s="19"/>
      <c r="C93" s="170">
        <f>_XLL.FECHA.MES(C92,1)</f>
        <v>40678</v>
      </c>
      <c r="D93" s="51">
        <f>IF($G$33=1,ROUND('Tabla de Amortizacion'!B67,8),IF($G$33=2,ROUND('Tabla de Amortizacion'!E67,8),IF($G$33=3,ROUND('Tabla de Amortizacion'!H67,8),IF($G$33=4,ROUND('Tabla de Amortizacion'!K67,8),IF($G$33=5,ROUND('Tabla de Amortizacion'!N67,8),IF($G$33=6,ROUND('Tabla de Amortizacion'!Q67,8),ROUND('Tabla de Amortizacion'!T67,8)))))))</f>
        <v>0</v>
      </c>
      <c r="E93" s="51">
        <f>IF($G$33=1,ROUND('Tabla de Amortizacion'!C67,8),IF($G$33=2,ROUND('Tabla de Amortizacion'!F67,8),IF($G$33=3,ROUND('Tabla de Amortizacion'!I67,8),IF($G$33=4,ROUND('Tabla de Amortizacion'!L67,8),IF($G$33=5,ROUND('Tabla de Amortizacion'!O67,8),IF($G$33=6,ROUND('Tabla de Amortizacion'!R67,8),ROUND('Tabla de Amortizacion'!U67,8)))))))</f>
        <v>0</v>
      </c>
      <c r="G93" s="36"/>
      <c r="H93" s="36"/>
      <c r="I93" s="36"/>
      <c r="J93" s="36"/>
      <c r="L93" s="19"/>
    </row>
    <row r="94" spans="1:12" ht="15">
      <c r="A94" s="19"/>
      <c r="C94" s="170">
        <f>_XLL.FECHA.MES(C93,1)</f>
        <v>40709</v>
      </c>
      <c r="D94" s="51">
        <f>IF($G$33=1,ROUND('Tabla de Amortizacion'!B68,8),IF($G$33=2,ROUND('Tabla de Amortizacion'!E68,8),IF($G$33=3,ROUND('Tabla de Amortizacion'!H68,8),IF($G$33=4,ROUND('Tabla de Amortizacion'!K68,8),IF($G$33=5,ROUND('Tabla de Amortizacion'!N68,8),IF($G$33=6,ROUND('Tabla de Amortizacion'!Q68,8),ROUND('Tabla de Amortizacion'!T68,8)))))))</f>
        <v>0</v>
      </c>
      <c r="E94" s="51">
        <f>IF($G$33=1,ROUND('Tabla de Amortizacion'!C68,8),IF($G$33=2,ROUND('Tabla de Amortizacion'!F68,8),IF($G$33=3,ROUND('Tabla de Amortizacion'!I68,8),IF($G$33=4,ROUND('Tabla de Amortizacion'!L68,8),IF($G$33=5,ROUND('Tabla de Amortizacion'!O68,8),IF($G$33=6,ROUND('Tabla de Amortizacion'!R68,8),ROUND('Tabla de Amortizacion'!U68,8)))))))</f>
        <v>0</v>
      </c>
      <c r="G94" s="36"/>
      <c r="H94" s="36"/>
      <c r="I94" s="36"/>
      <c r="J94" s="36"/>
      <c r="L94" s="19"/>
    </row>
    <row r="95" spans="1:12" ht="15">
      <c r="A95" s="19"/>
      <c r="C95" s="170">
        <f>_XLL.FECHA.MES(C94,1)</f>
        <v>40739</v>
      </c>
      <c r="D95" s="51">
        <f>IF($G$33=1,ROUND('Tabla de Amortizacion'!B69,8),IF($G$33=2,ROUND('Tabla de Amortizacion'!E69,8),IF($G$33=3,ROUND('Tabla de Amortizacion'!H69,8),IF($G$33=4,ROUND('Tabla de Amortizacion'!K69,8),IF($G$33=5,ROUND('Tabla de Amortizacion'!N69,8),IF($G$33=6,ROUND('Tabla de Amortizacion'!Q69,8),ROUND('Tabla de Amortizacion'!T69,8)))))))</f>
        <v>0</v>
      </c>
      <c r="E95" s="51">
        <f>IF($G$33=1,ROUND('Tabla de Amortizacion'!C69,8),IF($G$33=2,ROUND('Tabla de Amortizacion'!F69,8),IF($G$33=3,ROUND('Tabla de Amortizacion'!I69,8),IF($G$33=4,ROUND('Tabla de Amortizacion'!L69,8),IF($G$33=5,ROUND('Tabla de Amortizacion'!O69,8),IF($G$33=6,ROUND('Tabla de Amortizacion'!R69,8),ROUND('Tabla de Amortizacion'!U69,8)))))))</f>
        <v>0</v>
      </c>
      <c r="G95" s="36"/>
      <c r="H95" s="36"/>
      <c r="I95" s="36"/>
      <c r="J95" s="36"/>
      <c r="L95" s="19"/>
    </row>
    <row r="96" spans="1:12" ht="15">
      <c r="A96" s="19"/>
      <c r="C96" s="170">
        <f>_XLL.FECHA.MES(C95,1)</f>
        <v>40770</v>
      </c>
      <c r="D96" s="51">
        <f>IF($G$33=1,ROUND('Tabla de Amortizacion'!B70,8),IF($G$33=2,ROUND('Tabla de Amortizacion'!E70,8),IF($G$33=3,ROUND('Tabla de Amortizacion'!H70,8),IF($G$33=4,ROUND('Tabla de Amortizacion'!K70,8),IF($G$33=5,ROUND('Tabla de Amortizacion'!N70,8),IF($G$33=6,ROUND('Tabla de Amortizacion'!Q70,8),ROUND('Tabla de Amortizacion'!T70,8)))))))</f>
        <v>0</v>
      </c>
      <c r="E96" s="51">
        <f>IF($G$33=1,ROUND('Tabla de Amortizacion'!C70,8),IF($G$33=2,ROUND('Tabla de Amortizacion'!F70,8),IF($G$33=3,ROUND('Tabla de Amortizacion'!I70,8),IF($G$33=4,ROUND('Tabla de Amortizacion'!L70,8),IF($G$33=5,ROUND('Tabla de Amortizacion'!O70,8),IF($G$33=6,ROUND('Tabla de Amortizacion'!R70,8),ROUND('Tabla de Amortizacion'!U70,8)))))))</f>
        <v>0</v>
      </c>
      <c r="G96" s="36"/>
      <c r="H96" s="36"/>
      <c r="I96" s="36"/>
      <c r="J96" s="36"/>
      <c r="L96" s="19"/>
    </row>
    <row r="97" spans="1:12" ht="15">
      <c r="A97" s="19"/>
      <c r="C97" s="170">
        <f>_XLL.FECHA.MES(C96,1)</f>
        <v>40801</v>
      </c>
      <c r="D97" s="51">
        <f>IF($G$33=1,ROUND('Tabla de Amortizacion'!B71,8),IF($G$33=2,ROUND('Tabla de Amortizacion'!E71,8),IF($G$33=3,ROUND('Tabla de Amortizacion'!H71,8),IF($G$33=4,ROUND('Tabla de Amortizacion'!K71,8),IF($G$33=5,ROUND('Tabla de Amortizacion'!N71,8),IF($G$33=6,ROUND('Tabla de Amortizacion'!Q71,8),ROUND('Tabla de Amortizacion'!T71,8)))))))</f>
        <v>0</v>
      </c>
      <c r="E97" s="51">
        <f>IF($G$33=1,ROUND('Tabla de Amortizacion'!C71,8),IF($G$33=2,ROUND('Tabla de Amortizacion'!F71,8),IF($G$33=3,ROUND('Tabla de Amortizacion'!I71,8),IF($G$33=4,ROUND('Tabla de Amortizacion'!L71,8),IF($G$33=5,ROUND('Tabla de Amortizacion'!O71,8),IF($G$33=6,ROUND('Tabla de Amortizacion'!R71,8),ROUND('Tabla de Amortizacion'!U71,8)))))))</f>
        <v>0</v>
      </c>
      <c r="G97" s="36"/>
      <c r="H97" s="36"/>
      <c r="I97" s="36"/>
      <c r="J97" s="36"/>
      <c r="L97" s="19"/>
    </row>
    <row r="98" spans="1:12" ht="15">
      <c r="A98" s="19"/>
      <c r="C98" s="170">
        <f>_XLL.FECHA.MES(C97,1)</f>
        <v>40831</v>
      </c>
      <c r="D98" s="51">
        <f>IF($G$33=1,ROUND('Tabla de Amortizacion'!B72,8),IF($G$33=2,ROUND('Tabla de Amortizacion'!E72,8),IF($G$33=3,ROUND('Tabla de Amortizacion'!H72,8),IF($G$33=4,ROUND('Tabla de Amortizacion'!K72,8),IF($G$33=5,ROUND('Tabla de Amortizacion'!N72,8),IF($G$33=6,ROUND('Tabla de Amortizacion'!Q72,8),ROUND('Tabla de Amortizacion'!T72,8)))))))</f>
        <v>0</v>
      </c>
      <c r="E98" s="51">
        <f>IF($G$33=1,ROUND('Tabla de Amortizacion'!C72,8),IF($G$33=2,ROUND('Tabla de Amortizacion'!F72,8),IF($G$33=3,ROUND('Tabla de Amortizacion'!I72,8),IF($G$33=4,ROUND('Tabla de Amortizacion'!L72,8),IF($G$33=5,ROUND('Tabla de Amortizacion'!O72,8),IF($G$33=6,ROUND('Tabla de Amortizacion'!R72,8),ROUND('Tabla de Amortizacion'!U72,8)))))))</f>
        <v>0</v>
      </c>
      <c r="G98" s="36"/>
      <c r="H98" s="36"/>
      <c r="I98" s="36"/>
      <c r="J98" s="36"/>
      <c r="L98" s="19"/>
    </row>
    <row r="99" spans="1:12" ht="15">
      <c r="A99" s="19"/>
      <c r="C99" s="170">
        <f>_XLL.FECHA.MES(C98,1)</f>
        <v>40862</v>
      </c>
      <c r="D99" s="51">
        <f>IF($G$33=1,ROUND('Tabla de Amortizacion'!B73,8),IF($G$33=2,ROUND('Tabla de Amortizacion'!E73,8),IF($G$33=3,ROUND('Tabla de Amortizacion'!H73,8),IF($G$33=4,ROUND('Tabla de Amortizacion'!K73,8),IF($G$33=5,ROUND('Tabla de Amortizacion'!N73,8),IF($G$33=6,ROUND('Tabla de Amortizacion'!Q73,8),ROUND('Tabla de Amortizacion'!T73,8)))))))</f>
        <v>0</v>
      </c>
      <c r="E99" s="51">
        <f>IF($G$33=1,ROUND('Tabla de Amortizacion'!C73,8),IF($G$33=2,ROUND('Tabla de Amortizacion'!F73,8),IF($G$33=3,ROUND('Tabla de Amortizacion'!I73,8),IF($G$33=4,ROUND('Tabla de Amortizacion'!L73,8),IF($G$33=5,ROUND('Tabla de Amortizacion'!O73,8),IF($G$33=6,ROUND('Tabla de Amortizacion'!R73,8),ROUND('Tabla de Amortizacion'!U73,8)))))))</f>
        <v>0</v>
      </c>
      <c r="G99" s="36"/>
      <c r="H99" s="36"/>
      <c r="I99" s="36"/>
      <c r="J99" s="36"/>
      <c r="L99" s="19"/>
    </row>
    <row r="100" spans="1:12" ht="15">
      <c r="A100" s="19"/>
      <c r="C100" s="170">
        <f>_XLL.FECHA.MES(C99,1)</f>
        <v>40892</v>
      </c>
      <c r="D100" s="51">
        <f>IF($G$33=1,ROUND('Tabla de Amortizacion'!B74,8),IF($G$33=2,ROUND('Tabla de Amortizacion'!E74,8),IF($G$33=3,ROUND('Tabla de Amortizacion'!H74,8),IF($G$33=4,ROUND('Tabla de Amortizacion'!K74,8),IF($G$33=5,ROUND('Tabla de Amortizacion'!N74,8),IF($G$33=6,ROUND('Tabla de Amortizacion'!Q74,8),ROUND('Tabla de Amortizacion'!T74,8)))))))</f>
        <v>0</v>
      </c>
      <c r="E100" s="51">
        <f>IF($G$33=1,ROUND('Tabla de Amortizacion'!C74,8),IF($G$33=2,ROUND('Tabla de Amortizacion'!F74,8),IF($G$33=3,ROUND('Tabla de Amortizacion'!I74,8),IF($G$33=4,ROUND('Tabla de Amortizacion'!L74,8),IF($G$33=5,ROUND('Tabla de Amortizacion'!O74,8),IF($G$33=6,ROUND('Tabla de Amortizacion'!R74,8),ROUND('Tabla de Amortizacion'!U74,8)))))))</f>
        <v>0</v>
      </c>
      <c r="G100" s="36"/>
      <c r="H100" s="36"/>
      <c r="I100" s="36"/>
      <c r="J100" s="36"/>
      <c r="L100" s="19"/>
    </row>
    <row r="101" spans="1:12" ht="15">
      <c r="A101" s="19"/>
      <c r="C101" s="170">
        <f>_XLL.FECHA.MES(C100,1)</f>
        <v>40923</v>
      </c>
      <c r="D101" s="51">
        <f>IF($G$33=1,ROUND('Tabla de Amortizacion'!B75,8),IF($G$33=2,ROUND('Tabla de Amortizacion'!E75,8),IF($G$33=3,ROUND('Tabla de Amortizacion'!H75,8),IF($G$33=4,ROUND('Tabla de Amortizacion'!K75,8),IF($G$33=5,ROUND('Tabla de Amortizacion'!N75,8),IF($G$33=6,ROUND('Tabla de Amortizacion'!Q75,8),ROUND('Tabla de Amortizacion'!T75,8)))))))</f>
        <v>0</v>
      </c>
      <c r="E101" s="51">
        <f>IF($G$33=1,ROUND('Tabla de Amortizacion'!C75,8),IF($G$33=2,ROUND('Tabla de Amortizacion'!F75,8),IF($G$33=3,ROUND('Tabla de Amortizacion'!I75,8),IF($G$33=4,ROUND('Tabla de Amortizacion'!L75,8),IF($G$33=5,ROUND('Tabla de Amortizacion'!O75,8),IF($G$33=6,ROUND('Tabla de Amortizacion'!R75,8),ROUND('Tabla de Amortizacion'!U75,8)))))))</f>
        <v>0</v>
      </c>
      <c r="G101" s="36"/>
      <c r="H101" s="36"/>
      <c r="I101" s="36"/>
      <c r="J101" s="36"/>
      <c r="L101" s="19"/>
    </row>
    <row r="102" spans="1:12" ht="15">
      <c r="A102" s="19"/>
      <c r="C102" s="170">
        <f>_XLL.FECHA.MES(C101,1)</f>
        <v>40954</v>
      </c>
      <c r="D102" s="51">
        <f>IF($G$33=1,ROUND('Tabla de Amortizacion'!B76,8),IF($G$33=2,ROUND('Tabla de Amortizacion'!E76,8),IF($G$33=3,ROUND('Tabla de Amortizacion'!H76,8),IF($G$33=4,ROUND('Tabla de Amortizacion'!K76,8),IF($G$33=5,ROUND('Tabla de Amortizacion'!N76,8),IF($G$33=6,ROUND('Tabla de Amortizacion'!Q76,8),ROUND('Tabla de Amortizacion'!T76,8)))))))</f>
        <v>0</v>
      </c>
      <c r="E102" s="51">
        <f>IF($G$33=1,ROUND('Tabla de Amortizacion'!C76,8),IF($G$33=2,ROUND('Tabla de Amortizacion'!F76,8),IF($G$33=3,ROUND('Tabla de Amortizacion'!I76,8),IF($G$33=4,ROUND('Tabla de Amortizacion'!L76,8),IF($G$33=5,ROUND('Tabla de Amortizacion'!O76,8),IF($G$33=6,ROUND('Tabla de Amortizacion'!R76,8),ROUND('Tabla de Amortizacion'!U76,8)))))))</f>
        <v>0</v>
      </c>
      <c r="G102" s="36"/>
      <c r="H102" s="36"/>
      <c r="I102" s="36"/>
      <c r="J102" s="36"/>
      <c r="L102" s="19"/>
    </row>
    <row r="103" spans="1:12" ht="15">
      <c r="A103" s="19"/>
      <c r="C103" s="170">
        <f>_XLL.FECHA.MES(C102,1)</f>
        <v>40983</v>
      </c>
      <c r="D103" s="51">
        <f>IF($G$33=1,ROUND('Tabla de Amortizacion'!B77,8),IF($G$33=2,ROUND('Tabla de Amortizacion'!E77,8),IF($G$33=3,ROUND('Tabla de Amortizacion'!H77,8),IF($G$33=4,ROUND('Tabla de Amortizacion'!K77,8),IF($G$33=5,ROUND('Tabla de Amortizacion'!N77,8),IF($G$33=6,ROUND('Tabla de Amortizacion'!Q77,8),ROUND('Tabla de Amortizacion'!T77,8)))))))</f>
        <v>0</v>
      </c>
      <c r="E103" s="51">
        <f>IF($G$33=1,ROUND('Tabla de Amortizacion'!C77,8),IF($G$33=2,ROUND('Tabla de Amortizacion'!F77,8),IF($G$33=3,ROUND('Tabla de Amortizacion'!I77,8),IF($G$33=4,ROUND('Tabla de Amortizacion'!L77,8),IF($G$33=5,ROUND('Tabla de Amortizacion'!O77,8),IF($G$33=6,ROUND('Tabla de Amortizacion'!R77,8),ROUND('Tabla de Amortizacion'!U77,8)))))))</f>
        <v>0</v>
      </c>
      <c r="G103" s="36"/>
      <c r="H103" s="36"/>
      <c r="I103" s="36"/>
      <c r="J103" s="36"/>
      <c r="L103" s="19"/>
    </row>
    <row r="104" spans="1:12" ht="15">
      <c r="A104" s="19"/>
      <c r="C104" s="170">
        <f>_XLL.FECHA.MES(C103,1)</f>
        <v>41014</v>
      </c>
      <c r="D104" s="51">
        <f>IF($G$33=1,ROUND('Tabla de Amortizacion'!B78,8),IF($G$33=2,ROUND('Tabla de Amortizacion'!E78,8),IF($G$33=3,ROUND('Tabla de Amortizacion'!H78,8),IF($G$33=4,ROUND('Tabla de Amortizacion'!K78,8),IF($G$33=5,ROUND('Tabla de Amortizacion'!N78,8),IF($G$33=6,ROUND('Tabla de Amortizacion'!Q78,8),ROUND('Tabla de Amortizacion'!T78,8)))))))</f>
        <v>0</v>
      </c>
      <c r="E104" s="51">
        <f>IF($G$33=1,ROUND('Tabla de Amortizacion'!C78,8),IF($G$33=2,ROUND('Tabla de Amortizacion'!F78,8),IF($G$33=3,ROUND('Tabla de Amortizacion'!I78,8),IF($G$33=4,ROUND('Tabla de Amortizacion'!L78,8),IF($G$33=5,ROUND('Tabla de Amortizacion'!O78,8),IF($G$33=6,ROUND('Tabla de Amortizacion'!R78,8),ROUND('Tabla de Amortizacion'!U78,8)))))))</f>
        <v>0</v>
      </c>
      <c r="G104" s="36"/>
      <c r="H104" s="36"/>
      <c r="I104" s="36"/>
      <c r="J104" s="36"/>
      <c r="L104" s="19"/>
    </row>
    <row r="105" spans="1:12" ht="15">
      <c r="A105" s="19"/>
      <c r="C105" s="170">
        <f>_XLL.FECHA.MES(C104,1)</f>
        <v>41044</v>
      </c>
      <c r="D105" s="51">
        <f>IF($G$33=1,ROUND('Tabla de Amortizacion'!B79,8),IF($G$33=2,ROUND('Tabla de Amortizacion'!E79,8),IF($G$33=3,ROUND('Tabla de Amortizacion'!H79,8),IF($G$33=4,ROUND('Tabla de Amortizacion'!K79,8),IF($G$33=5,ROUND('Tabla de Amortizacion'!N79,8),IF($G$33=6,ROUND('Tabla de Amortizacion'!Q79,8),ROUND('Tabla de Amortizacion'!T79,8)))))))</f>
        <v>0</v>
      </c>
      <c r="E105" s="51">
        <f>IF($G$33=1,ROUND('Tabla de Amortizacion'!C79,8),IF($G$33=2,ROUND('Tabla de Amortizacion'!F79,8),IF($G$33=3,ROUND('Tabla de Amortizacion'!I79,8),IF($G$33=4,ROUND('Tabla de Amortizacion'!L79,8),IF($G$33=5,ROUND('Tabla de Amortizacion'!O79,8),IF($G$33=6,ROUND('Tabla de Amortizacion'!R79,8),ROUND('Tabla de Amortizacion'!U79,8)))))))</f>
        <v>0</v>
      </c>
      <c r="G105" s="36"/>
      <c r="H105" s="36"/>
      <c r="I105" s="36"/>
      <c r="J105" s="36"/>
      <c r="L105" s="19"/>
    </row>
    <row r="106" spans="1:12" ht="15">
      <c r="A106" s="19"/>
      <c r="C106" s="170">
        <f>_XLL.FECHA.MES(C105,1)</f>
        <v>41075</v>
      </c>
      <c r="D106" s="51">
        <f>IF($G$33=1,ROUND('Tabla de Amortizacion'!B80,8),IF($G$33=2,ROUND('Tabla de Amortizacion'!E80,8),IF($G$33=3,ROUND('Tabla de Amortizacion'!H80,8),IF($G$33=4,ROUND('Tabla de Amortizacion'!K80,8),IF($G$33=5,ROUND('Tabla de Amortizacion'!N80,8),IF($G$33=6,ROUND('Tabla de Amortizacion'!Q80,8),ROUND('Tabla de Amortizacion'!T80,8)))))))</f>
        <v>0</v>
      </c>
      <c r="E106" s="51">
        <f>IF($G$33=1,ROUND('Tabla de Amortizacion'!C80,8),IF($G$33=2,ROUND('Tabla de Amortizacion'!F80,8),IF($G$33=3,ROUND('Tabla de Amortizacion'!I80,8),IF($G$33=4,ROUND('Tabla de Amortizacion'!L80,8),IF($G$33=5,ROUND('Tabla de Amortizacion'!O80,8),IF($G$33=6,ROUND('Tabla de Amortizacion'!R80,8),ROUND('Tabla de Amortizacion'!U80,8)))))))</f>
        <v>0</v>
      </c>
      <c r="G106" s="36"/>
      <c r="H106" s="36"/>
      <c r="I106" s="36"/>
      <c r="J106" s="36"/>
      <c r="L106" s="19"/>
    </row>
    <row r="107" spans="1:12" ht="15">
      <c r="A107" s="19"/>
      <c r="C107" s="170">
        <f>_XLL.FECHA.MES(C106,1)</f>
        <v>41105</v>
      </c>
      <c r="D107" s="51">
        <f>IF($G$33=1,ROUND('Tabla de Amortizacion'!B81,8),IF($G$33=2,ROUND('Tabla de Amortizacion'!E81,8),IF($G$33=3,ROUND('Tabla de Amortizacion'!H81,8),IF($G$33=4,ROUND('Tabla de Amortizacion'!K81,8),IF($G$33=5,ROUND('Tabla de Amortizacion'!N81,8),IF($G$33=6,ROUND('Tabla de Amortizacion'!Q81,8),ROUND('Tabla de Amortizacion'!T81,8)))))))</f>
        <v>0</v>
      </c>
      <c r="E107" s="51">
        <f>IF($G$33=1,ROUND('Tabla de Amortizacion'!C81,8),IF($G$33=2,ROUND('Tabla de Amortizacion'!F81,8),IF($G$33=3,ROUND('Tabla de Amortizacion'!I81,8),IF($G$33=4,ROUND('Tabla de Amortizacion'!L81,8),IF($G$33=5,ROUND('Tabla de Amortizacion'!O81,8),IF($G$33=6,ROUND('Tabla de Amortizacion'!R81,8),ROUND('Tabla de Amortizacion'!U81,8)))))))</f>
        <v>0</v>
      </c>
      <c r="G107" s="36"/>
      <c r="H107" s="36"/>
      <c r="I107" s="36"/>
      <c r="J107" s="36"/>
      <c r="L107" s="19"/>
    </row>
    <row r="108" spans="1:12" ht="15">
      <c r="A108" s="19"/>
      <c r="C108" s="170">
        <f>_XLL.FECHA.MES(C107,1)</f>
        <v>41136</v>
      </c>
      <c r="D108" s="51">
        <f>IF($G$33=1,ROUND('Tabla de Amortizacion'!B82,8),IF($G$33=2,ROUND('Tabla de Amortizacion'!E82,8),IF($G$33=3,ROUND('Tabla de Amortizacion'!H82,8),IF($G$33=4,ROUND('Tabla de Amortizacion'!K82,8),IF($G$33=5,ROUND('Tabla de Amortizacion'!N82,8),IF($G$33=6,ROUND('Tabla de Amortizacion'!Q82,8),ROUND('Tabla de Amortizacion'!T82,8)))))))</f>
        <v>0</v>
      </c>
      <c r="E108" s="51">
        <f>IF($G$33=1,ROUND('Tabla de Amortizacion'!C82,8),IF($G$33=2,ROUND('Tabla de Amortizacion'!F82,8),IF($G$33=3,ROUND('Tabla de Amortizacion'!I82,8),IF($G$33=4,ROUND('Tabla de Amortizacion'!L82,8),IF($G$33=5,ROUND('Tabla de Amortizacion'!O82,8),IF($G$33=6,ROUND('Tabla de Amortizacion'!R82,8),ROUND('Tabla de Amortizacion'!U82,8)))))))</f>
        <v>0</v>
      </c>
      <c r="G108" s="36"/>
      <c r="H108" s="36"/>
      <c r="I108" s="36"/>
      <c r="J108" s="36"/>
      <c r="L108" s="19"/>
    </row>
    <row r="109" spans="1:12" ht="15">
      <c r="A109" s="19"/>
      <c r="C109" s="170">
        <f>_XLL.FECHA.MES(C108,1)</f>
        <v>41167</v>
      </c>
      <c r="D109" s="51">
        <f>IF($G$33=1,ROUND('Tabla de Amortizacion'!B83,8),IF($G$33=2,ROUND('Tabla de Amortizacion'!E83,8),IF($G$33=3,ROUND('Tabla de Amortizacion'!H83,8),IF($G$33=4,ROUND('Tabla de Amortizacion'!K83,8),IF($G$33=5,ROUND('Tabla de Amortizacion'!N83,8),IF($G$33=6,ROUND('Tabla de Amortizacion'!Q83,8),ROUND('Tabla de Amortizacion'!T83,8)))))))</f>
        <v>0</v>
      </c>
      <c r="E109" s="51">
        <f>IF($G$33=1,ROUND('Tabla de Amortizacion'!C83,8),IF($G$33=2,ROUND('Tabla de Amortizacion'!F83,8),IF($G$33=3,ROUND('Tabla de Amortizacion'!I83,8),IF($G$33=4,ROUND('Tabla de Amortizacion'!L83,8),IF($G$33=5,ROUND('Tabla de Amortizacion'!O83,8),IF($G$33=6,ROUND('Tabla de Amortizacion'!R83,8),ROUND('Tabla de Amortizacion'!U83,8)))))))</f>
        <v>0</v>
      </c>
      <c r="G109" s="36"/>
      <c r="H109" s="36"/>
      <c r="I109" s="36"/>
      <c r="J109" s="36"/>
      <c r="L109" s="19"/>
    </row>
    <row r="110" spans="1:12" ht="15">
      <c r="A110" s="19"/>
      <c r="C110" s="170">
        <f>_XLL.FECHA.MES(C109,1)</f>
        <v>41197</v>
      </c>
      <c r="D110" s="51">
        <f>IF($G$33=1,ROUND('Tabla de Amortizacion'!B84,8),IF($G$33=2,ROUND('Tabla de Amortizacion'!E84,8),IF($G$33=3,ROUND('Tabla de Amortizacion'!H84,8),IF($G$33=4,ROUND('Tabla de Amortizacion'!K84,8),IF($G$33=5,ROUND('Tabla de Amortizacion'!N84,8),IF($G$33=6,ROUND('Tabla de Amortizacion'!Q84,8),ROUND('Tabla de Amortizacion'!T84,8)))))))</f>
        <v>0</v>
      </c>
      <c r="E110" s="51">
        <f>IF($G$33=1,ROUND('Tabla de Amortizacion'!C84,8),IF($G$33=2,ROUND('Tabla de Amortizacion'!F84,8),IF($G$33=3,ROUND('Tabla de Amortizacion'!I84,8),IF($G$33=4,ROUND('Tabla de Amortizacion'!L84,8),IF($G$33=5,ROUND('Tabla de Amortizacion'!O84,8),IF($G$33=6,ROUND('Tabla de Amortizacion'!R84,8),ROUND('Tabla de Amortizacion'!U84,8)))))))</f>
        <v>0</v>
      </c>
      <c r="G110" s="36"/>
      <c r="H110" s="36"/>
      <c r="I110" s="36"/>
      <c r="J110" s="36"/>
      <c r="L110" s="19"/>
    </row>
    <row r="111" spans="1:12" ht="15">
      <c r="A111" s="19"/>
      <c r="C111" s="170">
        <f>_XLL.FECHA.MES(C110,1)</f>
        <v>41228</v>
      </c>
      <c r="D111" s="51">
        <f>IF($G$33=1,ROUND('Tabla de Amortizacion'!B85,8),IF($G$33=2,ROUND('Tabla de Amortizacion'!E85,8),IF($G$33=3,ROUND('Tabla de Amortizacion'!H85,8),IF($G$33=4,ROUND('Tabla de Amortizacion'!K85,8),IF($G$33=5,ROUND('Tabla de Amortizacion'!N85,8),IF($G$33=6,ROUND('Tabla de Amortizacion'!Q85,8),ROUND('Tabla de Amortizacion'!T85,8)))))))</f>
        <v>0</v>
      </c>
      <c r="E111" s="51">
        <f>IF($G$33=1,ROUND('Tabla de Amortizacion'!C85,8),IF($G$33=2,ROUND('Tabla de Amortizacion'!F85,8),IF($G$33=3,ROUND('Tabla de Amortizacion'!I85,8),IF($G$33=4,ROUND('Tabla de Amortizacion'!L85,8),IF($G$33=5,ROUND('Tabla de Amortizacion'!O85,8),IF($G$33=6,ROUND('Tabla de Amortizacion'!R85,8),ROUND('Tabla de Amortizacion'!U85,8)))))))</f>
        <v>0</v>
      </c>
      <c r="G111" s="36"/>
      <c r="H111" s="36"/>
      <c r="I111" s="36"/>
      <c r="J111" s="36"/>
      <c r="L111" s="19"/>
    </row>
    <row r="112" spans="1:12" ht="15.75" thickBot="1">
      <c r="A112" s="19"/>
      <c r="C112" s="171">
        <f>_XLL.FECHA.MES(C111,1)</f>
        <v>41258</v>
      </c>
      <c r="D112" s="52">
        <f>IF($G$33=1,ROUND('Tabla de Amortizacion'!B86,8),IF($G$33=2,ROUND('Tabla de Amortizacion'!E86,8),IF($G$33=3,ROUND('Tabla de Amortizacion'!H86,8),IF($G$33=4,ROUND('Tabla de Amortizacion'!K86,8),IF($G$33=5,ROUND('Tabla de Amortizacion'!N86,8),IF($G$33=6,ROUND('Tabla de Amortizacion'!Q86,8),ROUND('Tabla de Amortizacion'!T86,8)))))))</f>
        <v>0</v>
      </c>
      <c r="E112" s="52">
        <f>IF($G$33=1,ROUND('Tabla de Amortizacion'!C86,8),IF($G$33=2,ROUND('Tabla de Amortizacion'!F86,8),IF($G$33=3,ROUND('Tabla de Amortizacion'!I86,8),IF($G$33=4,ROUND('Tabla de Amortizacion'!L86,8),IF($G$33=5,ROUND('Tabla de Amortizacion'!O86,8),IF($G$33=6,ROUND('Tabla de Amortizacion'!R86,8),ROUND('Tabla de Amortizacion'!U86,8)))))))</f>
        <v>0</v>
      </c>
      <c r="G112" s="36"/>
      <c r="H112" s="36"/>
      <c r="I112" s="36"/>
      <c r="J112" s="36"/>
      <c r="L112" s="19"/>
    </row>
    <row r="113" spans="1:12" ht="15">
      <c r="A113" s="19"/>
      <c r="D113" s="39"/>
      <c r="E113" s="39"/>
      <c r="L113" s="19"/>
    </row>
    <row r="114" spans="1:12" ht="15">
      <c r="A114" s="19"/>
      <c r="B114" s="19"/>
      <c r="C114" s="19"/>
      <c r="D114" s="19"/>
      <c r="E114" s="19"/>
      <c r="F114" s="19"/>
      <c r="G114" s="19"/>
      <c r="H114" s="19"/>
      <c r="I114" s="19"/>
      <c r="J114" s="19"/>
      <c r="K114" s="19"/>
      <c r="L114" s="19"/>
    </row>
    <row r="115" spans="1:12" ht="15">
      <c r="A115" s="19"/>
      <c r="B115" s="19"/>
      <c r="C115" s="19"/>
      <c r="D115" s="19"/>
      <c r="E115" s="19"/>
      <c r="F115" s="19"/>
      <c r="G115" s="19"/>
      <c r="H115" s="19"/>
      <c r="I115" s="19"/>
      <c r="J115" s="19"/>
      <c r="K115" s="19"/>
      <c r="L115" s="19"/>
    </row>
  </sheetData>
  <sheetProtection/>
  <protectedRanges>
    <protectedRange sqref="G7:G8" name="Rango1"/>
    <protectedRange sqref="D21:E21" name="Rango2"/>
  </protectedRanges>
  <mergeCells count="26">
    <mergeCell ref="G72:J72"/>
    <mergeCell ref="G66:J66"/>
    <mergeCell ref="G71:J71"/>
    <mergeCell ref="G61:J61"/>
    <mergeCell ref="G67:J67"/>
    <mergeCell ref="G69:J69"/>
    <mergeCell ref="G70:J70"/>
    <mergeCell ref="G59:J59"/>
    <mergeCell ref="D27:E27"/>
    <mergeCell ref="A1:K1"/>
    <mergeCell ref="D7:E7"/>
    <mergeCell ref="D6:F6"/>
    <mergeCell ref="C5:G5"/>
    <mergeCell ref="C4:J4"/>
    <mergeCell ref="G51:J51"/>
    <mergeCell ref="G56:J56"/>
    <mergeCell ref="G49:J49"/>
    <mergeCell ref="G60:J60"/>
    <mergeCell ref="G62:J62"/>
    <mergeCell ref="G64:J64"/>
    <mergeCell ref="G65:J65"/>
    <mergeCell ref="G57:J57"/>
    <mergeCell ref="G50:J50"/>
    <mergeCell ref="G52:J52"/>
    <mergeCell ref="G54:J54"/>
    <mergeCell ref="G55:J55"/>
  </mergeCells>
  <printOptions/>
  <pageMargins left="0.75" right="0.75" top="1" bottom="1" header="0" footer="0"/>
  <pageSetup fitToHeight="1" fitToWidth="1" horizontalDpi="600" verticalDpi="600" orientation="portrait" scale="36" r:id="rId3"/>
  <drawing r:id="rId2"/>
  <legacyDrawing r:id="rId1"/>
</worksheet>
</file>

<file path=xl/worksheets/sheet2.xml><?xml version="1.0" encoding="utf-8"?>
<worksheet xmlns="http://schemas.openxmlformats.org/spreadsheetml/2006/main" xmlns:r="http://schemas.openxmlformats.org/officeDocument/2006/relationships">
  <sheetPr codeName="Hoja4"/>
  <dimension ref="B1:X67"/>
  <sheetViews>
    <sheetView showGridLines="0" zoomScale="85" zoomScaleNormal="85" workbookViewId="0" topLeftCell="A1">
      <selection activeCell="D5" sqref="D5"/>
    </sheetView>
  </sheetViews>
  <sheetFormatPr defaultColWidth="11.421875" defaultRowHeight="12.75"/>
  <cols>
    <col min="1" max="1" width="2.28125" style="108" customWidth="1"/>
    <col min="2" max="2" width="5.421875" style="108" customWidth="1"/>
    <col min="3" max="3" width="9.57421875" style="108" customWidth="1"/>
    <col min="4" max="4" width="6.00390625" style="108" bestFit="1" customWidth="1"/>
    <col min="5" max="5" width="3.28125" style="108" customWidth="1"/>
    <col min="6" max="14" width="11.421875" style="108" customWidth="1"/>
    <col min="15" max="15" width="2.57421875" style="108" customWidth="1"/>
    <col min="16" max="21" width="11.421875" style="108" customWidth="1"/>
    <col min="22" max="22" width="3.57421875" style="108" customWidth="1"/>
    <col min="23" max="16384" width="11.421875" style="108" customWidth="1"/>
  </cols>
  <sheetData>
    <row r="1" ht="12.75">
      <c r="I1" s="109"/>
    </row>
    <row r="2" spans="2:14" ht="12.75">
      <c r="B2" s="110" t="s">
        <v>61</v>
      </c>
      <c r="C2" s="111"/>
      <c r="D2" s="111"/>
      <c r="E2" s="111"/>
      <c r="F2" s="111"/>
      <c r="G2" s="111"/>
      <c r="H2" s="111"/>
      <c r="I2" s="111"/>
      <c r="J2" s="112"/>
      <c r="K2" s="111"/>
      <c r="L2" s="111"/>
      <c r="M2" s="111"/>
      <c r="N2" s="111"/>
    </row>
    <row r="3" spans="2:24" ht="12.75">
      <c r="B3" s="111"/>
      <c r="C3" s="111"/>
      <c r="D3" s="111"/>
      <c r="E3" s="111"/>
      <c r="F3" s="111"/>
      <c r="G3" s="111"/>
      <c r="H3" s="111"/>
      <c r="I3" s="111"/>
      <c r="J3" s="111"/>
      <c r="K3" s="111"/>
      <c r="L3" s="111"/>
      <c r="M3" s="111"/>
      <c r="N3" s="111"/>
      <c r="X3" s="120"/>
    </row>
    <row r="4" spans="2:24" ht="12.75">
      <c r="B4" s="111"/>
      <c r="C4" s="111"/>
      <c r="D4" s="111"/>
      <c r="E4" s="113"/>
      <c r="F4" s="110" t="s">
        <v>62</v>
      </c>
      <c r="G4" s="111"/>
      <c r="H4" s="111"/>
      <c r="I4" s="111"/>
      <c r="J4" s="111"/>
      <c r="K4" s="111"/>
      <c r="L4" s="111"/>
      <c r="M4" s="111"/>
      <c r="N4" s="111"/>
      <c r="X4" s="120"/>
    </row>
    <row r="5" spans="2:24" ht="12.75">
      <c r="B5" s="111"/>
      <c r="C5" s="114" t="s">
        <v>63</v>
      </c>
      <c r="D5" s="167"/>
      <c r="E5" s="111"/>
      <c r="F5" s="115">
        <f aca="true" t="shared" si="0" ref="F5:F13">+Q38</f>
        <v>38981</v>
      </c>
      <c r="G5" s="116"/>
      <c r="H5" s="111"/>
      <c r="I5" s="111"/>
      <c r="J5" s="111"/>
      <c r="K5" s="111"/>
      <c r="L5" s="111"/>
      <c r="M5" s="111"/>
      <c r="N5" s="111"/>
      <c r="X5" s="120"/>
    </row>
    <row r="6" spans="2:24" ht="12.75">
      <c r="B6" s="111"/>
      <c r="C6" s="111"/>
      <c r="D6" s="111"/>
      <c r="E6" s="111"/>
      <c r="F6" s="115">
        <f t="shared" si="0"/>
        <v>39094</v>
      </c>
      <c r="G6" s="116"/>
      <c r="H6" s="111"/>
      <c r="I6" s="111"/>
      <c r="J6" s="111"/>
      <c r="K6" s="111"/>
      <c r="L6" s="111"/>
      <c r="M6" s="111"/>
      <c r="N6" s="111"/>
      <c r="X6" s="120"/>
    </row>
    <row r="7" spans="2:24" ht="12.75">
      <c r="B7" s="111"/>
      <c r="C7" s="111"/>
      <c r="D7" s="111"/>
      <c r="E7" s="111"/>
      <c r="F7" s="115">
        <f t="shared" si="0"/>
        <v>39289</v>
      </c>
      <c r="G7" s="116"/>
      <c r="H7" s="111"/>
      <c r="I7" s="111"/>
      <c r="J7" s="111"/>
      <c r="K7" s="111"/>
      <c r="L7" s="111"/>
      <c r="M7" s="111"/>
      <c r="N7" s="111"/>
      <c r="X7" s="120"/>
    </row>
    <row r="8" spans="2:24" ht="12.75">
      <c r="B8" s="111"/>
      <c r="C8" s="111"/>
      <c r="D8" s="111"/>
      <c r="E8" s="111"/>
      <c r="F8" s="115">
        <f t="shared" si="0"/>
        <v>39469</v>
      </c>
      <c r="G8" s="116"/>
      <c r="H8" s="111"/>
      <c r="I8" s="111"/>
      <c r="J8" s="111"/>
      <c r="K8" s="111"/>
      <c r="L8" s="111"/>
      <c r="M8" s="111"/>
      <c r="N8" s="111"/>
      <c r="X8" s="120"/>
    </row>
    <row r="9" spans="2:24" ht="12.75">
      <c r="B9" s="111"/>
      <c r="C9" s="111"/>
      <c r="D9" s="111"/>
      <c r="E9" s="111"/>
      <c r="F9" s="115">
        <f t="shared" si="0"/>
        <v>40443</v>
      </c>
      <c r="G9" s="116"/>
      <c r="H9" s="111"/>
      <c r="I9" s="111"/>
      <c r="J9" s="111"/>
      <c r="K9" s="111"/>
      <c r="L9" s="111"/>
      <c r="M9" s="111"/>
      <c r="N9" s="111"/>
      <c r="X9" s="120"/>
    </row>
    <row r="10" spans="2:24" ht="12.75">
      <c r="B10" s="111"/>
      <c r="C10" s="111"/>
      <c r="D10" s="111"/>
      <c r="E10" s="111"/>
      <c r="F10" s="115">
        <f t="shared" si="0"/>
        <v>40788</v>
      </c>
      <c r="G10" s="116"/>
      <c r="H10" s="111"/>
      <c r="I10" s="111"/>
      <c r="J10" s="111"/>
      <c r="K10" s="111"/>
      <c r="L10" s="111"/>
      <c r="M10" s="111"/>
      <c r="N10" s="111"/>
      <c r="X10" s="120"/>
    </row>
    <row r="11" spans="2:24" ht="12.75">
      <c r="B11" s="111"/>
      <c r="C11" s="111"/>
      <c r="D11" s="111"/>
      <c r="E11" s="111"/>
      <c r="F11" s="115">
        <f t="shared" si="0"/>
        <v>40925</v>
      </c>
      <c r="G11" s="116"/>
      <c r="H11" s="111"/>
      <c r="I11" s="111"/>
      <c r="J11" s="111"/>
      <c r="K11" s="111"/>
      <c r="L11" s="111"/>
      <c r="M11" s="111"/>
      <c r="N11" s="111"/>
      <c r="X11" s="120"/>
    </row>
    <row r="12" spans="2:24" ht="12.75">
      <c r="B12" s="111"/>
      <c r="C12" s="111"/>
      <c r="D12" s="111"/>
      <c r="E12" s="111"/>
      <c r="F12" s="115">
        <f t="shared" si="0"/>
        <v>41044</v>
      </c>
      <c r="G12" s="116"/>
      <c r="H12" s="111"/>
      <c r="I12" s="111"/>
      <c r="J12" s="111"/>
      <c r="K12" s="111"/>
      <c r="L12" s="111"/>
      <c r="M12" s="111"/>
      <c r="N12" s="111"/>
      <c r="X12" s="120"/>
    </row>
    <row r="13" spans="2:24" ht="12.75">
      <c r="B13" s="111"/>
      <c r="C13" s="111"/>
      <c r="D13" s="111"/>
      <c r="E13" s="111"/>
      <c r="F13" s="115">
        <f t="shared" si="0"/>
        <v>42060</v>
      </c>
      <c r="G13" s="116"/>
      <c r="H13" s="111"/>
      <c r="I13" s="111"/>
      <c r="J13" s="111"/>
      <c r="K13" s="111"/>
      <c r="L13" s="111"/>
      <c r="M13" s="111"/>
      <c r="N13" s="111"/>
      <c r="X13" s="120"/>
    </row>
    <row r="14" spans="2:24" ht="12.75">
      <c r="B14" s="111"/>
      <c r="C14" s="111"/>
      <c r="D14" s="110"/>
      <c r="E14" s="110"/>
      <c r="F14" s="111"/>
      <c r="G14" s="111"/>
      <c r="H14" s="111"/>
      <c r="I14" s="111"/>
      <c r="J14" s="111"/>
      <c r="K14" s="111"/>
      <c r="L14" s="111"/>
      <c r="M14" s="111"/>
      <c r="N14" s="111"/>
      <c r="X14" s="120"/>
    </row>
    <row r="15" spans="2:24" ht="6.75" customHeight="1">
      <c r="B15" s="111"/>
      <c r="C15" s="111"/>
      <c r="D15" s="111"/>
      <c r="E15" s="111"/>
      <c r="F15" s="111"/>
      <c r="G15" s="111"/>
      <c r="H15" s="111"/>
      <c r="I15" s="111"/>
      <c r="J15" s="111"/>
      <c r="K15" s="111"/>
      <c r="L15" s="111"/>
      <c r="M15" s="111"/>
      <c r="N15" s="111"/>
      <c r="X15" s="120"/>
    </row>
    <row r="16" spans="2:24" ht="12.75">
      <c r="B16" s="111"/>
      <c r="C16" s="117" t="s">
        <v>64</v>
      </c>
      <c r="D16" s="111"/>
      <c r="E16" s="111"/>
      <c r="F16" s="111"/>
      <c r="G16" s="111"/>
      <c r="H16" s="111"/>
      <c r="I16" s="111"/>
      <c r="J16" s="111"/>
      <c r="K16" s="111"/>
      <c r="L16" s="111"/>
      <c r="M16" s="111"/>
      <c r="N16" s="111"/>
      <c r="X16" s="120"/>
    </row>
    <row r="17" spans="2:24" ht="12.75">
      <c r="B17" s="111"/>
      <c r="C17" s="111"/>
      <c r="D17" s="111"/>
      <c r="E17" s="111"/>
      <c r="F17" s="111"/>
      <c r="G17" s="111"/>
      <c r="H17" s="111"/>
      <c r="I17" s="111"/>
      <c r="J17" s="111"/>
      <c r="K17" s="111"/>
      <c r="L17" s="111"/>
      <c r="M17" s="111"/>
      <c r="N17" s="111"/>
      <c r="X17" s="120"/>
    </row>
    <row r="18" spans="2:24" ht="12.75">
      <c r="B18" s="111"/>
      <c r="C18" s="111"/>
      <c r="D18" s="111"/>
      <c r="E18" s="111"/>
      <c r="F18" s="111"/>
      <c r="G18" s="111"/>
      <c r="H18" s="111"/>
      <c r="I18" s="111"/>
      <c r="J18" s="111"/>
      <c r="K18" s="111"/>
      <c r="L18" s="111"/>
      <c r="M18" s="111"/>
      <c r="N18" s="111"/>
      <c r="X18" s="120"/>
    </row>
    <row r="19" spans="2:24" ht="12.75">
      <c r="B19" s="111"/>
      <c r="C19" s="111"/>
      <c r="D19" s="111"/>
      <c r="E19" s="111"/>
      <c r="F19" s="111"/>
      <c r="G19" s="111"/>
      <c r="H19" s="111"/>
      <c r="I19" s="111"/>
      <c r="J19" s="111"/>
      <c r="K19" s="111"/>
      <c r="L19" s="111"/>
      <c r="M19" s="111"/>
      <c r="N19" s="111"/>
      <c r="X19" s="120"/>
    </row>
    <row r="20" spans="2:24" ht="12.75">
      <c r="B20" s="111"/>
      <c r="C20" s="111"/>
      <c r="D20" s="111"/>
      <c r="E20" s="111"/>
      <c r="F20" s="111"/>
      <c r="G20" s="111"/>
      <c r="H20" s="111"/>
      <c r="I20" s="111"/>
      <c r="J20" s="111"/>
      <c r="K20" s="111"/>
      <c r="L20" s="111"/>
      <c r="M20" s="111"/>
      <c r="N20" s="111"/>
      <c r="X20" s="120"/>
    </row>
    <row r="21" spans="2:24" ht="12.75">
      <c r="B21" s="111"/>
      <c r="C21" s="111"/>
      <c r="D21" s="111"/>
      <c r="E21" s="111"/>
      <c r="F21" s="111"/>
      <c r="G21" s="111"/>
      <c r="H21" s="111"/>
      <c r="I21" s="111"/>
      <c r="J21" s="111"/>
      <c r="K21" s="111"/>
      <c r="L21" s="111"/>
      <c r="M21" s="111"/>
      <c r="N21" s="111"/>
      <c r="X21" s="120"/>
    </row>
    <row r="22" spans="2:24" ht="12.75">
      <c r="B22" s="111"/>
      <c r="C22" s="111"/>
      <c r="D22" s="111"/>
      <c r="E22" s="111"/>
      <c r="F22" s="111"/>
      <c r="G22" s="111"/>
      <c r="H22" s="111"/>
      <c r="I22" s="111"/>
      <c r="J22" s="111"/>
      <c r="K22" s="111"/>
      <c r="L22" s="111"/>
      <c r="M22" s="111"/>
      <c r="N22" s="111"/>
      <c r="X22" s="120"/>
    </row>
    <row r="23" spans="2:24" ht="12.75">
      <c r="B23" s="111"/>
      <c r="C23" s="111"/>
      <c r="D23" s="111"/>
      <c r="E23" s="111"/>
      <c r="F23" s="111"/>
      <c r="G23" s="111"/>
      <c r="H23" s="111"/>
      <c r="I23" s="111"/>
      <c r="J23" s="111"/>
      <c r="K23" s="111"/>
      <c r="L23" s="111"/>
      <c r="M23" s="111"/>
      <c r="N23" s="111"/>
      <c r="X23" s="120"/>
    </row>
    <row r="24" spans="2:24" ht="12.75">
      <c r="B24" s="111"/>
      <c r="C24" s="111"/>
      <c r="D24" s="111"/>
      <c r="E24" s="111"/>
      <c r="F24" s="111"/>
      <c r="G24" s="111"/>
      <c r="H24" s="111"/>
      <c r="I24" s="111"/>
      <c r="J24" s="111"/>
      <c r="K24" s="111"/>
      <c r="L24" s="111"/>
      <c r="M24" s="111"/>
      <c r="N24" s="111"/>
      <c r="X24" s="120"/>
    </row>
    <row r="25" spans="2:24" ht="12.75">
      <c r="B25" s="111"/>
      <c r="C25" s="111"/>
      <c r="D25" s="111"/>
      <c r="E25" s="111"/>
      <c r="F25" s="111"/>
      <c r="G25" s="111"/>
      <c r="H25" s="111"/>
      <c r="I25" s="111"/>
      <c r="J25" s="111"/>
      <c r="K25" s="111"/>
      <c r="L25" s="111"/>
      <c r="M25" s="111"/>
      <c r="N25" s="111"/>
      <c r="X25" s="120"/>
    </row>
    <row r="26" spans="2:24" ht="12.75">
      <c r="B26" s="111"/>
      <c r="C26" s="111"/>
      <c r="D26" s="111"/>
      <c r="E26" s="111"/>
      <c r="F26" s="111"/>
      <c r="G26" s="111"/>
      <c r="H26" s="111"/>
      <c r="I26" s="111"/>
      <c r="J26" s="111"/>
      <c r="K26" s="111"/>
      <c r="L26" s="111"/>
      <c r="M26" s="111"/>
      <c r="N26" s="111"/>
      <c r="X26" s="120"/>
    </row>
    <row r="27" spans="2:24" ht="12.75">
      <c r="B27" s="111"/>
      <c r="C27" s="111"/>
      <c r="D27" s="111"/>
      <c r="E27" s="111"/>
      <c r="F27" s="111"/>
      <c r="G27" s="111"/>
      <c r="H27" s="111"/>
      <c r="I27" s="111"/>
      <c r="J27" s="111"/>
      <c r="K27" s="111"/>
      <c r="L27" s="111"/>
      <c r="M27" s="111"/>
      <c r="N27" s="111"/>
      <c r="X27" s="120"/>
    </row>
    <row r="28" spans="2:24" ht="12.75">
      <c r="B28" s="111"/>
      <c r="C28" s="111"/>
      <c r="D28" s="111"/>
      <c r="E28" s="111"/>
      <c r="F28" s="111"/>
      <c r="G28" s="111"/>
      <c r="H28" s="111"/>
      <c r="I28" s="111"/>
      <c r="J28" s="111"/>
      <c r="K28" s="111"/>
      <c r="L28" s="111"/>
      <c r="M28" s="111"/>
      <c r="N28" s="111"/>
      <c r="X28" s="120"/>
    </row>
    <row r="29" spans="2:24" ht="12.75">
      <c r="B29" s="111"/>
      <c r="C29" s="111"/>
      <c r="D29" s="111"/>
      <c r="E29" s="111"/>
      <c r="F29" s="111"/>
      <c r="G29" s="111"/>
      <c r="H29" s="111"/>
      <c r="I29" s="111"/>
      <c r="J29" s="111"/>
      <c r="K29" s="111"/>
      <c r="L29" s="111"/>
      <c r="M29" s="111"/>
      <c r="N29" s="111"/>
      <c r="X29" s="120"/>
    </row>
    <row r="30" spans="2:24" ht="12.75">
      <c r="B30" s="111"/>
      <c r="C30" s="111"/>
      <c r="D30" s="111"/>
      <c r="E30" s="111"/>
      <c r="F30" s="111"/>
      <c r="G30" s="111"/>
      <c r="H30" s="111"/>
      <c r="I30" s="111"/>
      <c r="J30" s="111"/>
      <c r="K30" s="111"/>
      <c r="L30" s="111"/>
      <c r="M30" s="111"/>
      <c r="N30" s="111"/>
      <c r="X30" s="120"/>
    </row>
    <row r="31" spans="2:24" ht="12.75">
      <c r="B31" s="111"/>
      <c r="C31" s="111"/>
      <c r="D31" s="111"/>
      <c r="E31" s="111"/>
      <c r="F31" s="111"/>
      <c r="G31" s="111"/>
      <c r="H31" s="111"/>
      <c r="I31" s="111"/>
      <c r="J31" s="111"/>
      <c r="K31" s="111"/>
      <c r="L31" s="111"/>
      <c r="M31" s="111"/>
      <c r="N31" s="111"/>
      <c r="X31" s="120"/>
    </row>
    <row r="32" spans="2:24" ht="12.75">
      <c r="B32" s="111"/>
      <c r="C32" s="111"/>
      <c r="D32" s="111"/>
      <c r="E32" s="111"/>
      <c r="F32" s="111"/>
      <c r="G32" s="111"/>
      <c r="H32" s="111"/>
      <c r="I32" s="111"/>
      <c r="J32" s="111"/>
      <c r="K32" s="111"/>
      <c r="L32" s="111"/>
      <c r="M32" s="111"/>
      <c r="N32" s="111"/>
      <c r="X32" s="120"/>
    </row>
    <row r="33" spans="9:24" ht="12.75">
      <c r="I33" s="109"/>
      <c r="X33" s="120"/>
    </row>
    <row r="34" ht="12.75">
      <c r="X34" s="120"/>
    </row>
    <row r="35" spans="17:24" ht="12.75">
      <c r="Q35" s="118" t="s">
        <v>65</v>
      </c>
      <c r="R35" s="118"/>
      <c r="S35" s="118" t="s">
        <v>66</v>
      </c>
      <c r="T35" s="118" t="s">
        <v>67</v>
      </c>
      <c r="U35" s="118" t="s">
        <v>68</v>
      </c>
      <c r="V35" s="119"/>
      <c r="W35" s="118" t="s">
        <v>67</v>
      </c>
      <c r="X35" s="118" t="s">
        <v>72</v>
      </c>
    </row>
    <row r="36" spans="17:24" ht="12.75">
      <c r="Q36" s="118"/>
      <c r="R36" s="118"/>
      <c r="S36" s="118"/>
      <c r="T36" s="118" t="s">
        <v>69</v>
      </c>
      <c r="U36" s="118" t="s">
        <v>70</v>
      </c>
      <c r="V36" s="119"/>
      <c r="W36" s="108" t="s">
        <v>71</v>
      </c>
      <c r="X36" s="118" t="s">
        <v>73</v>
      </c>
    </row>
    <row r="37" spans="17:24" ht="12.75">
      <c r="Q37" s="121">
        <f ca="1">+TODAY()</f>
        <v>39248</v>
      </c>
      <c r="R37" s="121"/>
      <c r="S37" s="119"/>
      <c r="T37" s="122"/>
      <c r="U37" s="118"/>
      <c r="V37" s="119"/>
      <c r="X37" s="120"/>
    </row>
    <row r="38" spans="17:24" ht="12.75">
      <c r="Q38" s="123">
        <v>38981</v>
      </c>
      <c r="R38" s="123"/>
      <c r="S38" s="124" t="e">
        <f>+_XLL.DURACION(Q$37,Q38,T38,U38,1,0)</f>
        <v>#NUM!</v>
      </c>
      <c r="T38" s="125">
        <v>0.08</v>
      </c>
      <c r="U38" s="126">
        <f aca="true" t="shared" si="1" ref="U38:U46">+G5</f>
        <v>0</v>
      </c>
      <c r="V38" s="127"/>
      <c r="W38" s="129">
        <f>(1+'CALCULADORA TECH E-3'!D21)*(1+D5)-1</f>
        <v>0.0012000000000000899</v>
      </c>
      <c r="X38" s="130">
        <f>+'CALCULADORA TECH E-3'!I23</f>
        <v>0</v>
      </c>
    </row>
    <row r="39" spans="17:24" ht="12.75">
      <c r="Q39" s="123">
        <v>39094</v>
      </c>
      <c r="R39" s="123"/>
      <c r="S39" s="124" t="e">
        <f>+_XLL.DURACION(Q$37,Q39,T39,U39,1,0)</f>
        <v>#NUM!</v>
      </c>
      <c r="T39" s="125">
        <v>0.06</v>
      </c>
      <c r="U39" s="126">
        <f t="shared" si="1"/>
        <v>0</v>
      </c>
      <c r="V39" s="127"/>
      <c r="W39" s="129">
        <f>(1+'CALCULADORA TECH E-3'!E21)*(1+D5)-1</f>
        <v>0.006999999999999895</v>
      </c>
      <c r="X39" s="130">
        <f>+'CALCULADORA TECH E-3'!I24</f>
        <v>0.0827540549486925</v>
      </c>
    </row>
    <row r="40" spans="17:22" ht="12.75">
      <c r="Q40" s="123">
        <v>39289</v>
      </c>
      <c r="R40" s="123"/>
      <c r="S40" s="124">
        <f>+_XLL.DURACION(Q$37,Q40,T40,U40,1,0)</f>
        <v>0.1138888888888889</v>
      </c>
      <c r="T40" s="125">
        <v>0.08</v>
      </c>
      <c r="U40" s="126">
        <f t="shared" si="1"/>
        <v>0</v>
      </c>
      <c r="V40" s="119"/>
    </row>
    <row r="41" spans="17:22" ht="12.75">
      <c r="Q41" s="123">
        <v>39469</v>
      </c>
      <c r="R41" s="123"/>
      <c r="S41" s="124">
        <f>+_XLL.DURACION(Q$37,Q41,T41,U41,1,0)</f>
        <v>0.6027777777777777</v>
      </c>
      <c r="T41" s="125">
        <v>0.08</v>
      </c>
      <c r="U41" s="126">
        <f t="shared" si="1"/>
        <v>0</v>
      </c>
      <c r="V41" s="119"/>
    </row>
    <row r="42" spans="17:22" ht="12.75">
      <c r="Q42" s="123">
        <v>40443</v>
      </c>
      <c r="R42" s="123"/>
      <c r="S42" s="124">
        <f>+_XLL.DURACION(Q$37,Q42,T42,U42,1,0)</f>
        <v>2.941319444444445</v>
      </c>
      <c r="T42" s="125">
        <v>0.07</v>
      </c>
      <c r="U42" s="126">
        <f t="shared" si="1"/>
        <v>0</v>
      </c>
      <c r="V42" s="119"/>
    </row>
    <row r="43" spans="17:22" ht="12.75">
      <c r="Q43" s="123">
        <v>40788</v>
      </c>
      <c r="R43" s="123"/>
      <c r="S43" s="124">
        <f>+_XLL.DURACION(Q$37,Q43,T43,U43,1,0)</f>
        <v>3.642460317460317</v>
      </c>
      <c r="T43" s="125">
        <v>0.08</v>
      </c>
      <c r="U43" s="126">
        <f t="shared" si="1"/>
        <v>0</v>
      </c>
      <c r="V43" s="128"/>
    </row>
    <row r="44" spans="17:22" ht="12.75">
      <c r="Q44" s="123">
        <v>40925</v>
      </c>
      <c r="R44" s="123"/>
      <c r="S44" s="124">
        <f>+_XLL.DURACION(Q$37,Q44,T44,U44,1,0)</f>
        <v>4.07037037037037</v>
      </c>
      <c r="T44" s="125">
        <v>0.07</v>
      </c>
      <c r="U44" s="126">
        <f t="shared" si="1"/>
        <v>0</v>
      </c>
      <c r="V44" s="119"/>
    </row>
    <row r="45" spans="17:22" ht="12.75">
      <c r="Q45" s="123">
        <v>41044</v>
      </c>
      <c r="R45" s="123"/>
      <c r="S45" s="124">
        <f>+_XLL.DURACION(Q$37,Q45,T45,U45,1,0)</f>
        <v>4.398148148148148</v>
      </c>
      <c r="T45" s="125">
        <v>0.07</v>
      </c>
      <c r="U45" s="126">
        <f t="shared" si="1"/>
        <v>0</v>
      </c>
      <c r="V45" s="119"/>
    </row>
    <row r="46" spans="17:22" ht="12.75">
      <c r="Q46" s="123">
        <v>42060</v>
      </c>
      <c r="R46" s="123"/>
      <c r="S46" s="124">
        <f>+_XLL.DURACION(Q$37,Q46,T46,U46,1,0)</f>
        <v>6.438034188034188</v>
      </c>
      <c r="T46" s="125">
        <v>0.07</v>
      </c>
      <c r="U46" s="126">
        <f t="shared" si="1"/>
        <v>0</v>
      </c>
      <c r="V46" s="119"/>
    </row>
    <row r="47" spans="17:22" ht="12.75">
      <c r="Q47" s="119"/>
      <c r="R47" s="119"/>
      <c r="S47" s="119"/>
      <c r="T47" s="119"/>
      <c r="U47" s="119"/>
      <c r="V47" s="119"/>
    </row>
    <row r="48" spans="17:22" ht="12.75">
      <c r="Q48" s="119"/>
      <c r="R48" s="119"/>
      <c r="S48" s="119"/>
      <c r="T48" s="119"/>
      <c r="U48" s="126"/>
      <c r="V48" s="119"/>
    </row>
    <row r="49" spans="17:22" ht="12.75">
      <c r="Q49" s="119"/>
      <c r="R49" s="119"/>
      <c r="S49" s="124"/>
      <c r="T49" s="119"/>
      <c r="U49" s="126">
        <f aca="true" t="shared" si="2" ref="U49:U57">+(1+$D$5)*(1+U38)-1</f>
        <v>0</v>
      </c>
      <c r="V49" s="119"/>
    </row>
    <row r="50" spans="17:22" ht="12.75">
      <c r="Q50" s="119"/>
      <c r="R50" s="119"/>
      <c r="S50" s="124"/>
      <c r="T50" s="119"/>
      <c r="U50" s="126">
        <f t="shared" si="2"/>
        <v>0</v>
      </c>
      <c r="V50" s="119"/>
    </row>
    <row r="51" spans="17:22" ht="12.75">
      <c r="Q51" s="119"/>
      <c r="R51" s="119"/>
      <c r="S51" s="124"/>
      <c r="T51" s="119"/>
      <c r="U51" s="126">
        <f t="shared" si="2"/>
        <v>0</v>
      </c>
      <c r="V51" s="119"/>
    </row>
    <row r="52" spans="17:22" ht="12.75">
      <c r="Q52" s="119"/>
      <c r="R52" s="119"/>
      <c r="S52" s="124"/>
      <c r="T52" s="119"/>
      <c r="U52" s="126">
        <f t="shared" si="2"/>
        <v>0</v>
      </c>
      <c r="V52" s="119"/>
    </row>
    <row r="53" spans="17:22" ht="12.75">
      <c r="Q53" s="119"/>
      <c r="R53" s="119"/>
      <c r="S53" s="124"/>
      <c r="T53" s="119"/>
      <c r="U53" s="126">
        <f t="shared" si="2"/>
        <v>0</v>
      </c>
      <c r="V53" s="119"/>
    </row>
    <row r="54" spans="17:22" ht="12.75">
      <c r="Q54" s="119"/>
      <c r="R54" s="119"/>
      <c r="S54" s="124"/>
      <c r="T54" s="119"/>
      <c r="U54" s="126">
        <f t="shared" si="2"/>
        <v>0</v>
      </c>
      <c r="V54" s="119"/>
    </row>
    <row r="55" spans="17:22" ht="12.75">
      <c r="Q55" s="119"/>
      <c r="R55" s="119"/>
      <c r="S55" s="124"/>
      <c r="T55" s="119"/>
      <c r="U55" s="126">
        <f t="shared" si="2"/>
        <v>0</v>
      </c>
      <c r="V55" s="119"/>
    </row>
    <row r="56" spans="17:22" ht="12.75">
      <c r="Q56" s="119"/>
      <c r="R56" s="119"/>
      <c r="S56" s="124"/>
      <c r="T56" s="119"/>
      <c r="U56" s="126">
        <f t="shared" si="2"/>
        <v>0</v>
      </c>
      <c r="V56" s="119"/>
    </row>
    <row r="57" spans="17:22" ht="12.75">
      <c r="Q57" s="119"/>
      <c r="R57" s="119"/>
      <c r="S57" s="124"/>
      <c r="T57" s="119"/>
      <c r="U57" s="126">
        <f t="shared" si="2"/>
        <v>0</v>
      </c>
      <c r="V57" s="119"/>
    </row>
    <row r="58" spans="17:22" ht="12.75">
      <c r="Q58" s="119"/>
      <c r="R58" s="119"/>
      <c r="S58" s="119"/>
      <c r="T58" s="119"/>
      <c r="U58" s="126"/>
      <c r="V58" s="119"/>
    </row>
    <row r="59" spans="17:22" ht="12.75">
      <c r="Q59" s="119"/>
      <c r="R59" s="119"/>
      <c r="S59" s="119"/>
      <c r="T59" s="119"/>
      <c r="U59" s="126">
        <f aca="true" t="shared" si="3" ref="U59:U67">+U49*0.615</f>
        <v>0</v>
      </c>
      <c r="V59" s="119"/>
    </row>
    <row r="60" spans="17:22" ht="12.75">
      <c r="Q60" s="119"/>
      <c r="R60" s="119"/>
      <c r="S60" s="119"/>
      <c r="T60" s="119"/>
      <c r="U60" s="126">
        <f t="shared" si="3"/>
        <v>0</v>
      </c>
      <c r="V60" s="119"/>
    </row>
    <row r="61" spans="17:22" ht="12.75">
      <c r="Q61" s="119"/>
      <c r="R61" s="119"/>
      <c r="S61" s="119"/>
      <c r="T61" s="119"/>
      <c r="U61" s="126">
        <f t="shared" si="3"/>
        <v>0</v>
      </c>
      <c r="V61" s="119"/>
    </row>
    <row r="62" spans="17:22" ht="12.75">
      <c r="Q62" s="119"/>
      <c r="R62" s="119"/>
      <c r="S62" s="119"/>
      <c r="T62" s="119"/>
      <c r="U62" s="126">
        <f t="shared" si="3"/>
        <v>0</v>
      </c>
      <c r="V62" s="119"/>
    </row>
    <row r="63" spans="17:22" ht="12.75">
      <c r="Q63" s="119"/>
      <c r="R63" s="119"/>
      <c r="S63" s="119"/>
      <c r="T63" s="119"/>
      <c r="U63" s="126">
        <f t="shared" si="3"/>
        <v>0</v>
      </c>
      <c r="V63" s="119"/>
    </row>
    <row r="64" spans="17:22" ht="12.75">
      <c r="Q64" s="119"/>
      <c r="R64" s="119"/>
      <c r="S64" s="119"/>
      <c r="T64" s="119"/>
      <c r="U64" s="126">
        <f t="shared" si="3"/>
        <v>0</v>
      </c>
      <c r="V64" s="119"/>
    </row>
    <row r="65" spans="17:22" ht="12.75">
      <c r="Q65" s="119"/>
      <c r="R65" s="119"/>
      <c r="S65" s="119"/>
      <c r="T65" s="119"/>
      <c r="U65" s="126">
        <f t="shared" si="3"/>
        <v>0</v>
      </c>
      <c r="V65" s="119"/>
    </row>
    <row r="66" spans="17:22" ht="12.75">
      <c r="Q66" s="119"/>
      <c r="R66" s="119"/>
      <c r="S66" s="119"/>
      <c r="T66" s="119"/>
      <c r="U66" s="126">
        <f t="shared" si="3"/>
        <v>0</v>
      </c>
      <c r="V66" s="119"/>
    </row>
    <row r="67" spans="21:22" ht="12.75">
      <c r="U67" s="126">
        <f t="shared" si="3"/>
        <v>0</v>
      </c>
      <c r="V67" s="119"/>
    </row>
  </sheetData>
  <sheetProtection formatCells="0" formatColumns="0" formatRows="0" insertColumns="0" insertRows="0" insertHyperlinks="0" deleteColumns="0" deleteRows="0" sort="0" autoFilter="0" pivotTables="0"/>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Hoja2"/>
  <dimension ref="A1:X103"/>
  <sheetViews>
    <sheetView zoomScale="70" zoomScaleNormal="70" workbookViewId="0" topLeftCell="A1">
      <pane xSplit="1" ySplit="6" topLeftCell="B7" activePane="bottomRight" state="frozen"/>
      <selection pane="topLeft" activeCell="A1" sqref="A1"/>
      <selection pane="topRight" activeCell="B1" sqref="B1"/>
      <selection pane="bottomLeft" activeCell="A7" sqref="A7"/>
      <selection pane="bottomRight" activeCell="M25" sqref="M25"/>
    </sheetView>
  </sheetViews>
  <sheetFormatPr defaultColWidth="11.421875" defaultRowHeight="12.75"/>
  <cols>
    <col min="1" max="1" width="11.421875" style="1" customWidth="1"/>
    <col min="2" max="2" width="16.57421875" style="1" customWidth="1"/>
    <col min="3" max="3" width="12.140625" style="2" hidden="1" customWidth="1"/>
    <col min="4" max="4" width="13.00390625" style="2" hidden="1" customWidth="1"/>
    <col min="5" max="5" width="13.421875" style="1" hidden="1" customWidth="1"/>
    <col min="6" max="6" width="12.00390625" style="1" hidden="1" customWidth="1"/>
    <col min="7" max="7" width="11.140625" style="1" hidden="1" customWidth="1"/>
    <col min="8" max="8" width="12.140625" style="1" hidden="1" customWidth="1"/>
    <col min="9" max="9" width="11.57421875" style="1" hidden="1" customWidth="1"/>
    <col min="10" max="10" width="11.140625" style="1" hidden="1" customWidth="1"/>
    <col min="11" max="11" width="14.421875" style="1" hidden="1" customWidth="1"/>
    <col min="12" max="12" width="2.421875" style="1" customWidth="1"/>
    <col min="13" max="13" width="12.140625" style="2" customWidth="1"/>
    <col min="14" max="14" width="13.00390625" style="2" customWidth="1"/>
    <col min="15" max="15" width="10.8515625" style="1" bestFit="1" customWidth="1"/>
    <col min="16" max="16" width="12.00390625" style="1" customWidth="1"/>
    <col min="17" max="17" width="11.00390625" style="1" bestFit="1" customWidth="1"/>
    <col min="18" max="18" width="10.8515625" style="1" bestFit="1" customWidth="1"/>
    <col min="19" max="19" width="11.421875" style="1" customWidth="1"/>
    <col min="20" max="20" width="11.00390625" style="1" bestFit="1" customWidth="1"/>
    <col min="21" max="21" width="14.57421875" style="1" customWidth="1"/>
    <col min="22" max="16384" width="11.421875" style="1" customWidth="1"/>
  </cols>
  <sheetData>
    <row r="1" spans="1:3" ht="12.75">
      <c r="A1" s="1">
        <v>100</v>
      </c>
      <c r="C1" s="2" t="s">
        <v>6</v>
      </c>
    </row>
    <row r="2" spans="1:21" ht="12.75">
      <c r="A2" s="1">
        <f>DAY('CALCULADORA TECH E-3'!G7)</f>
        <v>15</v>
      </c>
      <c r="C2" s="2" t="s">
        <v>7</v>
      </c>
      <c r="H2" s="3"/>
      <c r="J2" s="4"/>
      <c r="K2" s="4"/>
      <c r="L2" s="4"/>
      <c r="R2" s="3"/>
      <c r="T2" s="4"/>
      <c r="U2" s="4"/>
    </row>
    <row r="3" spans="1:3" ht="12.75">
      <c r="A3" s="1">
        <v>360</v>
      </c>
      <c r="C3" s="2" t="s">
        <v>20</v>
      </c>
    </row>
    <row r="4" ht="13.5" thickBot="1"/>
    <row r="5" spans="1:21" ht="12.75">
      <c r="A5" s="5" t="s">
        <v>0</v>
      </c>
      <c r="B5" s="54"/>
      <c r="C5" s="55" t="s">
        <v>90</v>
      </c>
      <c r="D5" s="55"/>
      <c r="E5" s="56"/>
      <c r="F5" s="57"/>
      <c r="G5" s="57"/>
      <c r="H5" s="57"/>
      <c r="I5" s="57"/>
      <c r="J5" s="58"/>
      <c r="K5" s="57"/>
      <c r="L5" s="61"/>
      <c r="M5" s="55" t="s">
        <v>91</v>
      </c>
      <c r="N5" s="55"/>
      <c r="O5" s="56"/>
      <c r="P5" s="57"/>
      <c r="Q5" s="57"/>
      <c r="R5" s="57"/>
      <c r="S5" s="57"/>
      <c r="T5" s="58"/>
      <c r="U5" s="87"/>
    </row>
    <row r="6" spans="2:24" s="6" customFormat="1" ht="51">
      <c r="B6" s="59" t="s">
        <v>27</v>
      </c>
      <c r="C6" s="7" t="s">
        <v>2</v>
      </c>
      <c r="D6" s="7" t="s">
        <v>3</v>
      </c>
      <c r="E6" s="8" t="s">
        <v>4</v>
      </c>
      <c r="F6" s="8" t="s">
        <v>5</v>
      </c>
      <c r="G6" s="8" t="s">
        <v>1</v>
      </c>
      <c r="H6" s="8" t="s">
        <v>8</v>
      </c>
      <c r="I6" s="8" t="s">
        <v>26</v>
      </c>
      <c r="J6" s="60" t="s">
        <v>9</v>
      </c>
      <c r="K6" s="8" t="s">
        <v>44</v>
      </c>
      <c r="L6" s="59"/>
      <c r="M6" s="7" t="s">
        <v>2</v>
      </c>
      <c r="N6" s="7" t="s">
        <v>3</v>
      </c>
      <c r="O6" s="8" t="s">
        <v>4</v>
      </c>
      <c r="P6" s="8" t="s">
        <v>5</v>
      </c>
      <c r="Q6" s="8" t="s">
        <v>1</v>
      </c>
      <c r="R6" s="8" t="s">
        <v>8</v>
      </c>
      <c r="S6" s="8" t="s">
        <v>10</v>
      </c>
      <c r="T6" s="60" t="s">
        <v>9</v>
      </c>
      <c r="U6" s="88" t="s">
        <v>44</v>
      </c>
      <c r="W6" s="143" t="s">
        <v>75</v>
      </c>
      <c r="X6" s="159" t="s">
        <v>76</v>
      </c>
    </row>
    <row r="7" spans="1:24" s="15" customFormat="1" ht="12.75">
      <c r="A7" s="179">
        <f>'CALCULADORA TECH E-3'!G7</f>
        <v>38701</v>
      </c>
      <c r="B7" s="76">
        <f>DAYS360('CALCULADORA TECH E-3'!$G$8,A7,0)</f>
        <v>-540</v>
      </c>
      <c r="C7" s="78">
        <v>0</v>
      </c>
      <c r="D7" s="180">
        <f>A1</f>
        <v>100</v>
      </c>
      <c r="E7" s="73">
        <v>0</v>
      </c>
      <c r="F7" s="73">
        <v>0</v>
      </c>
      <c r="G7" s="71">
        <f>IF(B7&lt;1,0,F7+E7)</f>
        <v>0</v>
      </c>
      <c r="H7" s="71">
        <f>IF($B7&lt;0,0,G7/POWER(1+'CALCULADORA TECH E-3'!$D$14,'Flujos Mensuales'!$B7/$A$3))</f>
        <v>0</v>
      </c>
      <c r="I7" s="71">
        <f>IF(B7&lt;0,0,G7/POWER(1+'CALCULADORA TECH E-3'!$D$21,'Flujos Mensuales'!B7/$A$3))</f>
        <v>0</v>
      </c>
      <c r="J7" s="132">
        <f>ROUND(F10/90,4)</f>
        <v>0.0001</v>
      </c>
      <c r="K7" s="73">
        <f>I7*B7</f>
        <v>0</v>
      </c>
      <c r="L7" s="181"/>
      <c r="M7" s="75">
        <v>0</v>
      </c>
      <c r="N7" s="180">
        <f>A1</f>
        <v>100</v>
      </c>
      <c r="O7" s="73">
        <v>0</v>
      </c>
      <c r="P7" s="73">
        <v>0</v>
      </c>
      <c r="Q7" s="71">
        <f>IF(B7&lt;1,0,P7+O7)</f>
        <v>0</v>
      </c>
      <c r="R7" s="71">
        <f>IF($B7&lt;0,0,Q7/POWER(1+'CALCULADORA TECH E-3'!$E$14,'Flujos Mensuales'!$B7/$A$3))</f>
        <v>0</v>
      </c>
      <c r="S7" s="71">
        <f>IF($B7&lt;0,0,Q7/POWER(1+'CALCULADORA TECH E-3'!$E$21,'Flujos Mensuales'!$B7/$A$3))</f>
        <v>0</v>
      </c>
      <c r="T7" s="132">
        <f>P10/90</f>
        <v>0.0006455555555555556</v>
      </c>
      <c r="U7" s="133">
        <f>S7*$B7</f>
        <v>0</v>
      </c>
      <c r="W7" s="15">
        <v>0</v>
      </c>
      <c r="X7" s="14">
        <v>0</v>
      </c>
    </row>
    <row r="8" spans="1:24" s="14" customFormat="1" ht="12.75">
      <c r="A8" s="18">
        <f>_XLL.FECHA.MES(A7,1)</f>
        <v>38732</v>
      </c>
      <c r="B8" s="76">
        <f>DAYS360('CALCULADORA TECH E-3'!$G$8,A8,0)</f>
        <v>-510</v>
      </c>
      <c r="C8" s="78">
        <f>VLOOKUP(A8,'CALCULADORA TECH E-3'!$C$29:$E$112,2,0)</f>
        <v>0.08085749</v>
      </c>
      <c r="D8" s="69">
        <f aca="true" t="shared" si="0" ref="D8:D37">D7-E8</f>
        <v>91.91425100000001</v>
      </c>
      <c r="E8" s="73">
        <f aca="true" t="shared" si="1" ref="E8:E41">C8*$A$1</f>
        <v>8.085749</v>
      </c>
      <c r="F8" s="73">
        <f>D7*'CALCULADORA TECH E-3'!D15</f>
        <v>0.01</v>
      </c>
      <c r="G8" s="71">
        <f aca="true" t="shared" si="2" ref="G8:G70">IF(B8&lt;1,0,F8+E8)</f>
        <v>0</v>
      </c>
      <c r="H8" s="71">
        <f>IF($B8&lt;0,0,G8/POWER(1+'CALCULADORA TECH E-3'!$D$14,'Flujos Mensuales'!$B8/$A$3))</f>
        <v>0</v>
      </c>
      <c r="I8" s="71">
        <f>IF(B8&lt;0,0,G8/POWER(1+'CALCULADORA TECH E-3'!$D$21,'Flujos Mensuales'!B8/$A$3))</f>
        <v>0</v>
      </c>
      <c r="J8" s="132">
        <f>ROUND(F10/90,4)</f>
        <v>0.0001</v>
      </c>
      <c r="K8" s="73">
        <f aca="true" t="shared" si="3" ref="K8:K71">I8*B8</f>
        <v>0</v>
      </c>
      <c r="L8" s="64"/>
      <c r="M8" s="75">
        <f>VLOOKUP(A8,'CALCULADORA TECH E-3'!$C$29:$E$112,3,0)</f>
        <v>0</v>
      </c>
      <c r="N8" s="69">
        <f>N7-O8</f>
        <v>100</v>
      </c>
      <c r="O8" s="73">
        <f>M8*$A$1</f>
        <v>0</v>
      </c>
      <c r="P8" s="73">
        <f>N7*'CALCULADORA TECH E-3'!E15</f>
        <v>0.058100000000000006</v>
      </c>
      <c r="Q8" s="71">
        <f aca="true" t="shared" si="4" ref="Q8:Q71">IF(B8&lt;1,0,P8+O8)</f>
        <v>0</v>
      </c>
      <c r="R8" s="71">
        <f>IF($B8&lt;0,0,Q8/POWER(1+'CALCULADORA TECH E-3'!$E$14,'Flujos Mensuales'!$B8/$A$3))</f>
        <v>0</v>
      </c>
      <c r="S8" s="71">
        <f>IF($B8&lt;0,0,Q8/POWER(1+'CALCULADORA TECH E-3'!$E$21,'Flujos Mensuales'!$B8/$A$3))</f>
        <v>0</v>
      </c>
      <c r="T8" s="132">
        <f>P10/90</f>
        <v>0.0006455555555555556</v>
      </c>
      <c r="U8" s="133">
        <f aca="true" t="shared" si="5" ref="U8:U71">S8*$B8</f>
        <v>0</v>
      </c>
      <c r="W8" s="15">
        <v>1</v>
      </c>
      <c r="X8" s="14">
        <v>0</v>
      </c>
    </row>
    <row r="9" spans="1:24" s="14" customFormat="1" ht="12.75">
      <c r="A9" s="18">
        <f>_XLL.FECHA.MES(A8,1)</f>
        <v>38763</v>
      </c>
      <c r="B9" s="76">
        <f>DAYS360('CALCULADORA TECH E-3'!$G$8,A9,0)</f>
        <v>-480</v>
      </c>
      <c r="C9" s="78">
        <f>VLOOKUP(A9,'CALCULADORA TECH E-3'!$C$29:$E$112,2,0)</f>
        <v>0.08172564</v>
      </c>
      <c r="D9" s="69">
        <f t="shared" si="0"/>
        <v>83.74168700000001</v>
      </c>
      <c r="E9" s="73">
        <f t="shared" si="1"/>
        <v>8.172564</v>
      </c>
      <c r="F9" s="73">
        <f>IF(D8&gt;0.00000000001,D8*'CALCULADORA TECH E-3'!$D$15,0)</f>
        <v>0.009191425100000001</v>
      </c>
      <c r="G9" s="71">
        <f t="shared" si="2"/>
        <v>0</v>
      </c>
      <c r="H9" s="71">
        <f>IF($B9&lt;0,0,G9/POWER(1+'CALCULADORA TECH E-3'!$D$14,'Flujos Mensuales'!$B9/$A$3))</f>
        <v>0</v>
      </c>
      <c r="I9" s="71">
        <f>IF(B9&lt;0,0,G9/POWER(1+'CALCULADORA TECH E-3'!$D$21,'Flujos Mensuales'!B9/$A$3))</f>
        <v>0</v>
      </c>
      <c r="J9" s="132">
        <f>ROUND(F10/90,4)</f>
        <v>0.0001</v>
      </c>
      <c r="K9" s="73">
        <f t="shared" si="3"/>
        <v>0</v>
      </c>
      <c r="L9" s="64"/>
      <c r="M9" s="75">
        <f>VLOOKUP(A9,'CALCULADORA TECH E-3'!$C$29:$E$112,3,0)</f>
        <v>0</v>
      </c>
      <c r="N9" s="69">
        <f>N8-O9</f>
        <v>100</v>
      </c>
      <c r="O9" s="73">
        <f aca="true" t="shared" si="6" ref="O9:O72">M9*$A$1</f>
        <v>0</v>
      </c>
      <c r="P9" s="73">
        <f>IF(N8&gt;0.00000000001,N8*'CALCULADORA TECH E-3'!$E$15,0)</f>
        <v>0.058100000000000006</v>
      </c>
      <c r="Q9" s="71">
        <f t="shared" si="4"/>
        <v>0</v>
      </c>
      <c r="R9" s="71">
        <f>IF($B9&lt;0,0,Q9/POWER(1+'CALCULADORA TECH E-3'!$E$14,'Flujos Mensuales'!$B9/$A$3))</f>
        <v>0</v>
      </c>
      <c r="S9" s="71">
        <f>IF($B9&lt;0,0,Q9/POWER(1+'CALCULADORA TECH E-3'!$E$21,'Flujos Mensuales'!$B9/$A$3))</f>
        <v>0</v>
      </c>
      <c r="T9" s="132">
        <f>P10/90</f>
        <v>0.0006455555555555556</v>
      </c>
      <c r="U9" s="133">
        <f t="shared" si="5"/>
        <v>0</v>
      </c>
      <c r="W9" s="14">
        <v>2</v>
      </c>
      <c r="X9" s="14">
        <v>0</v>
      </c>
    </row>
    <row r="10" spans="1:24" s="14" customFormat="1" ht="12.75">
      <c r="A10" s="18">
        <f>_XLL.FECHA.MES(A9,1)</f>
        <v>38791</v>
      </c>
      <c r="B10" s="76">
        <f>DAYS360('CALCULADORA TECH E-3'!$G$8,A10,0)</f>
        <v>-450</v>
      </c>
      <c r="C10" s="78">
        <f>VLOOKUP(A10,'CALCULADORA TECH E-3'!$C$29:$E$112,2,0)</f>
        <v>0.11221385</v>
      </c>
      <c r="D10" s="69">
        <f t="shared" si="0"/>
        <v>72.52030200000002</v>
      </c>
      <c r="E10" s="73">
        <f t="shared" si="1"/>
        <v>11.221385</v>
      </c>
      <c r="F10" s="73">
        <f>IF(D9&gt;0.00000000001,D9*'CALCULADORA TECH E-3'!$D$15,0)</f>
        <v>0.008374168700000002</v>
      </c>
      <c r="G10" s="71">
        <f t="shared" si="2"/>
        <v>0</v>
      </c>
      <c r="H10" s="71">
        <f>IF($B10&lt;0,0,G10/POWER(1+'CALCULADORA TECH E-3'!$D$14,'Flujos Mensuales'!$B10/$A$3))</f>
        <v>0</v>
      </c>
      <c r="I10" s="71">
        <f>IF(B10&lt;0,0,G10/POWER(1+'CALCULADORA TECH E-3'!$D$21,'Flujos Mensuales'!B10/$A$3))</f>
        <v>0</v>
      </c>
      <c r="J10" s="132">
        <f>ROUND(F11/30,4)</f>
        <v>0.0002</v>
      </c>
      <c r="K10" s="73">
        <f>I10*B10</f>
        <v>0</v>
      </c>
      <c r="L10" s="63"/>
      <c r="M10" s="75">
        <f>VLOOKUP(A10,'CALCULADORA TECH E-3'!$C$29:$E$112,3,0)</f>
        <v>0</v>
      </c>
      <c r="N10" s="69">
        <f aca="true" t="shared" si="7" ref="N10:N73">N9-O10</f>
        <v>100</v>
      </c>
      <c r="O10" s="73">
        <f t="shared" si="6"/>
        <v>0</v>
      </c>
      <c r="P10" s="73">
        <f>IF(N9&gt;0.00000000001,N9*'CALCULADORA TECH E-3'!$E$15,0)</f>
        <v>0.058100000000000006</v>
      </c>
      <c r="Q10" s="71">
        <f t="shared" si="4"/>
        <v>0</v>
      </c>
      <c r="R10" s="71">
        <f>IF($B10&lt;0,0,Q10/POWER(1+'CALCULADORA TECH E-3'!$E$14,'Flujos Mensuales'!$B10/$A$3))</f>
        <v>0</v>
      </c>
      <c r="S10" s="71">
        <f>IF($B10&lt;0,0,Q10/POWER(1+'CALCULADORA TECH E-3'!$E$21,'Flujos Mensuales'!$B10/$A$3))</f>
        <v>0</v>
      </c>
      <c r="T10" s="132">
        <f>ROUND(P11/30,4)</f>
        <v>0.0019</v>
      </c>
      <c r="U10" s="133">
        <f t="shared" si="5"/>
        <v>0</v>
      </c>
      <c r="W10" s="15">
        <v>3</v>
      </c>
      <c r="X10" s="14">
        <v>0</v>
      </c>
    </row>
    <row r="11" spans="1:24" s="14" customFormat="1" ht="12.75">
      <c r="A11" s="18">
        <f>_XLL.FECHA.MES(A10,1)</f>
        <v>38822</v>
      </c>
      <c r="B11" s="76">
        <f>DAYS360('CALCULADORA TECH E-3'!$G$8,A11,0)</f>
        <v>-420</v>
      </c>
      <c r="C11" s="78">
        <f>VLOOKUP(A11,'CALCULADORA TECH E-3'!$C$29:$E$112,2,0)</f>
        <v>0.11666071</v>
      </c>
      <c r="D11" s="69">
        <f t="shared" si="0"/>
        <v>60.85423100000001</v>
      </c>
      <c r="E11" s="73">
        <f t="shared" si="1"/>
        <v>11.666071</v>
      </c>
      <c r="F11" s="73">
        <f>IF(D10&gt;0.00000000001,D10*'CALCULADORA TECH E-3'!$D$15,0)</f>
        <v>0.007252030200000002</v>
      </c>
      <c r="G11" s="71">
        <f t="shared" si="2"/>
        <v>0</v>
      </c>
      <c r="H11" s="71">
        <f>IF($B11&lt;0,0,G11/POWER(1+'CALCULADORA TECH E-3'!$D$14,'Flujos Mensuales'!$B11/$A$3))</f>
        <v>0</v>
      </c>
      <c r="I11" s="71">
        <f>IF(B11&lt;0,0,G11/POWER(1+'CALCULADORA TECH E-3'!$D$21,'Flujos Mensuales'!B11/$A$3))</f>
        <v>0</v>
      </c>
      <c r="J11" s="132">
        <f aca="true" t="shared" si="8" ref="J11:J74">ROUND(F12/30,4)</f>
        <v>0.0002</v>
      </c>
      <c r="K11" s="73">
        <f>I11*B11</f>
        <v>0</v>
      </c>
      <c r="L11" s="63"/>
      <c r="M11" s="75">
        <f>VLOOKUP(A11,'CALCULADORA TECH E-3'!$C$29:$E$112,3,0)</f>
        <v>0</v>
      </c>
      <c r="N11" s="69">
        <f t="shared" si="7"/>
        <v>100</v>
      </c>
      <c r="O11" s="73">
        <f t="shared" si="6"/>
        <v>0</v>
      </c>
      <c r="P11" s="73">
        <f>IF(N10&gt;0.00000000001,N10*'CALCULADORA TECH E-3'!$E$15,0)</f>
        <v>0.058100000000000006</v>
      </c>
      <c r="Q11" s="71">
        <f t="shared" si="4"/>
        <v>0</v>
      </c>
      <c r="R11" s="71">
        <f>IF($B11&lt;0,0,Q11/POWER(1+'CALCULADORA TECH E-3'!$E$14,'Flujos Mensuales'!$B11/$A$3))</f>
        <v>0</v>
      </c>
      <c r="S11" s="71">
        <f>IF($B11&lt;0,0,Q11/POWER(1+'CALCULADORA TECH E-3'!$E$21,'Flujos Mensuales'!$B11/$A$3))</f>
        <v>0</v>
      </c>
      <c r="T11" s="132">
        <f aca="true" t="shared" si="9" ref="T11:T74">ROUND(P12/30,4)</f>
        <v>0.0019</v>
      </c>
      <c r="U11" s="133">
        <f t="shared" si="5"/>
        <v>0</v>
      </c>
      <c r="W11" s="15">
        <v>4</v>
      </c>
      <c r="X11" s="14">
        <v>0</v>
      </c>
    </row>
    <row r="12" spans="1:24" s="14" customFormat="1" ht="12.75">
      <c r="A12" s="18">
        <f>_XLL.FECHA.MES(A11,1)</f>
        <v>38852</v>
      </c>
      <c r="B12" s="76">
        <f>DAYS360('CALCULADORA TECH E-3'!$G$8,A12,0)</f>
        <v>-390</v>
      </c>
      <c r="C12" s="78">
        <f>VLOOKUP(A12,'CALCULADORA TECH E-3'!$C$29:$E$112,2,0)</f>
        <v>0.1079034</v>
      </c>
      <c r="D12" s="69">
        <f t="shared" si="0"/>
        <v>50.06389100000001</v>
      </c>
      <c r="E12" s="73">
        <f t="shared" si="1"/>
        <v>10.79034</v>
      </c>
      <c r="F12" s="73">
        <f>IF(D11&gt;0.00000000001,D11*'CALCULADORA TECH E-3'!$D$15,0)</f>
        <v>0.006085423100000002</v>
      </c>
      <c r="G12" s="71">
        <f t="shared" si="2"/>
        <v>0</v>
      </c>
      <c r="H12" s="71">
        <f>IF($B12&lt;0,0,G12/POWER(1+'CALCULADORA TECH E-3'!$D$14,'Flujos Mensuales'!$B12/$A$3))</f>
        <v>0</v>
      </c>
      <c r="I12" s="71">
        <f>IF(B12&lt;0,0,G12/POWER(1+'CALCULADORA TECH E-3'!$D$21,'Flujos Mensuales'!B12/$A$3))</f>
        <v>0</v>
      </c>
      <c r="J12" s="132">
        <f t="shared" si="8"/>
        <v>0.0002</v>
      </c>
      <c r="K12" s="73">
        <f>I12*B12</f>
        <v>0</v>
      </c>
      <c r="L12" s="64"/>
      <c r="M12" s="75">
        <f>VLOOKUP(A12,'CALCULADORA TECH E-3'!$C$29:$E$112,3,0)</f>
        <v>0</v>
      </c>
      <c r="N12" s="69">
        <f t="shared" si="7"/>
        <v>100</v>
      </c>
      <c r="O12" s="73">
        <f t="shared" si="6"/>
        <v>0</v>
      </c>
      <c r="P12" s="73">
        <f>IF(N11&gt;0.00000000001,N11*'CALCULADORA TECH E-3'!$E$15,0)</f>
        <v>0.058100000000000006</v>
      </c>
      <c r="Q12" s="71">
        <f t="shared" si="4"/>
        <v>0</v>
      </c>
      <c r="R12" s="71">
        <f>IF($B12&lt;0,0,Q12/POWER(1+'CALCULADORA TECH E-3'!$E$14,'Flujos Mensuales'!$B12/$A$3))</f>
        <v>0</v>
      </c>
      <c r="S12" s="71">
        <f>IF($B12&lt;0,0,Q12/POWER(1+'CALCULADORA TECH E-3'!$E$21,'Flujos Mensuales'!$B12/$A$3))</f>
        <v>0</v>
      </c>
      <c r="T12" s="132">
        <f t="shared" si="9"/>
        <v>0.0019</v>
      </c>
      <c r="U12" s="133">
        <f t="shared" si="5"/>
        <v>0</v>
      </c>
      <c r="W12" s="14">
        <v>5</v>
      </c>
      <c r="X12" s="14">
        <v>0</v>
      </c>
    </row>
    <row r="13" spans="1:24" s="14" customFormat="1" ht="12.75">
      <c r="A13" s="18">
        <f>_XLL.FECHA.MES(A12,1)</f>
        <v>38883</v>
      </c>
      <c r="B13" s="76">
        <f>DAYS360('CALCULADORA TECH E-3'!$G$8,A13,0)</f>
        <v>-360</v>
      </c>
      <c r="C13" s="78">
        <f>VLOOKUP(A13,'CALCULADORA TECH E-3'!$C$29:$E$112,2,0)</f>
        <v>0.16453517</v>
      </c>
      <c r="D13" s="69">
        <f t="shared" si="0"/>
        <v>33.61037400000001</v>
      </c>
      <c r="E13" s="73">
        <f t="shared" si="1"/>
        <v>16.453517</v>
      </c>
      <c r="F13" s="73">
        <f>IF(D12&gt;0.00000000001,D12*'CALCULADORA TECH E-3'!$D$15,0)</f>
        <v>0.005006389100000001</v>
      </c>
      <c r="G13" s="71">
        <f t="shared" si="2"/>
        <v>0</v>
      </c>
      <c r="H13" s="71">
        <f>IF($B13&lt;0,0,G13/POWER(1+'CALCULADORA TECH E-3'!$D$14,'Flujos Mensuales'!$B13/$A$3))</f>
        <v>0</v>
      </c>
      <c r="I13" s="71">
        <f>IF(B13&lt;0,0,G13/POWER(1+'CALCULADORA TECH E-3'!$D$21,'Flujos Mensuales'!B13/$A$3))</f>
        <v>0</v>
      </c>
      <c r="J13" s="132">
        <f t="shared" si="8"/>
        <v>0.0001</v>
      </c>
      <c r="K13" s="73">
        <f t="shared" si="3"/>
        <v>0</v>
      </c>
      <c r="L13" s="64"/>
      <c r="M13" s="75">
        <f>VLOOKUP(A13,'CALCULADORA TECH E-3'!$C$29:$E$112,3,0)</f>
        <v>0</v>
      </c>
      <c r="N13" s="69">
        <f t="shared" si="7"/>
        <v>100</v>
      </c>
      <c r="O13" s="73">
        <f t="shared" si="6"/>
        <v>0</v>
      </c>
      <c r="P13" s="73">
        <f>IF(N12&gt;0.00000000001,N12*'CALCULADORA TECH E-3'!$E$15,0)</f>
        <v>0.058100000000000006</v>
      </c>
      <c r="Q13" s="71">
        <f t="shared" si="4"/>
        <v>0</v>
      </c>
      <c r="R13" s="71">
        <f>IF($B13&lt;0,0,Q13/POWER(1+'CALCULADORA TECH E-3'!$E$14,'Flujos Mensuales'!$B13/$A$3))</f>
        <v>0</v>
      </c>
      <c r="S13" s="71">
        <f>IF($B13&lt;0,0,Q13/POWER(1+'CALCULADORA TECH E-3'!$E$21,'Flujos Mensuales'!$B13/$A$3))</f>
        <v>0</v>
      </c>
      <c r="T13" s="132">
        <f t="shared" si="9"/>
        <v>0.0019</v>
      </c>
      <c r="U13" s="133">
        <f t="shared" si="5"/>
        <v>0</v>
      </c>
      <c r="W13" s="14">
        <v>6</v>
      </c>
      <c r="X13" s="14">
        <v>0</v>
      </c>
    </row>
    <row r="14" spans="1:24" s="14" customFormat="1" ht="12.75">
      <c r="A14" s="18">
        <f>_XLL.FECHA.MES(A13,1)</f>
        <v>38913</v>
      </c>
      <c r="B14" s="76">
        <f>DAYS360('CALCULADORA TECH E-3'!$G$8,A14,0)</f>
        <v>-330</v>
      </c>
      <c r="C14" s="78">
        <f>VLOOKUP(A14,'CALCULADORA TECH E-3'!$C$29:$E$112,2,0)</f>
        <v>0.12544124</v>
      </c>
      <c r="D14" s="69">
        <f t="shared" si="0"/>
        <v>21.066250000000007</v>
      </c>
      <c r="E14" s="73">
        <f t="shared" si="1"/>
        <v>12.544124</v>
      </c>
      <c r="F14" s="73">
        <f>IF(D13&gt;0.00000000001,D13*'CALCULADORA TECH E-3'!$D$15,0)</f>
        <v>0.003361037400000001</v>
      </c>
      <c r="G14" s="71">
        <f t="shared" si="2"/>
        <v>0</v>
      </c>
      <c r="H14" s="71">
        <f>IF($B14&lt;0,0,G14/POWER(1+'CALCULADORA TECH E-3'!$D$14,'Flujos Mensuales'!$B14/$A$3))</f>
        <v>0</v>
      </c>
      <c r="I14" s="71">
        <f>IF(B14&lt;0,0,G14/POWER(1+'CALCULADORA TECH E-3'!$D$21,'Flujos Mensuales'!B14/$A$3))</f>
        <v>0</v>
      </c>
      <c r="J14" s="132">
        <f t="shared" si="8"/>
        <v>0.0001</v>
      </c>
      <c r="K14" s="73">
        <f t="shared" si="3"/>
        <v>0</v>
      </c>
      <c r="L14" s="64"/>
      <c r="M14" s="75">
        <f>VLOOKUP(A14,'CALCULADORA TECH E-3'!$C$29:$E$112,3,0)</f>
        <v>0</v>
      </c>
      <c r="N14" s="69">
        <f t="shared" si="7"/>
        <v>100</v>
      </c>
      <c r="O14" s="73">
        <f t="shared" si="6"/>
        <v>0</v>
      </c>
      <c r="P14" s="73">
        <f>IF(N13&gt;0.00000000001,N13*'CALCULADORA TECH E-3'!$E$15,0)</f>
        <v>0.058100000000000006</v>
      </c>
      <c r="Q14" s="71">
        <f t="shared" si="4"/>
        <v>0</v>
      </c>
      <c r="R14" s="71">
        <f>IF($B14&lt;0,0,Q14/POWER(1+'CALCULADORA TECH E-3'!$E$14,'Flujos Mensuales'!$B14/$A$3))</f>
        <v>0</v>
      </c>
      <c r="S14" s="71">
        <f>IF($B14&lt;0,0,Q14/POWER(1+'CALCULADORA TECH E-3'!$E$21,'Flujos Mensuales'!$B14/$A$3))</f>
        <v>0</v>
      </c>
      <c r="T14" s="132">
        <f t="shared" si="9"/>
        <v>0.0019</v>
      </c>
      <c r="U14" s="133">
        <f t="shared" si="5"/>
        <v>0</v>
      </c>
      <c r="W14" s="14">
        <v>7</v>
      </c>
      <c r="X14" s="14">
        <v>0</v>
      </c>
    </row>
    <row r="15" spans="1:24" s="14" customFormat="1" ht="12.75">
      <c r="A15" s="18">
        <f>_XLL.FECHA.MES(A14,1)</f>
        <v>38944</v>
      </c>
      <c r="B15" s="76">
        <f>DAYS360('CALCULADORA TECH E-3'!$G$8,A15,0)</f>
        <v>-300</v>
      </c>
      <c r="C15" s="78">
        <f>VLOOKUP(A15,'CALCULADORA TECH E-3'!$C$29:$E$112,2,0)</f>
        <v>0.12417954</v>
      </c>
      <c r="D15" s="69">
        <f t="shared" si="0"/>
        <v>8.648296000000007</v>
      </c>
      <c r="E15" s="73">
        <f t="shared" si="1"/>
        <v>12.417954</v>
      </c>
      <c r="F15" s="73">
        <f>IF(D14&gt;0.00000000001,D14*'CALCULADORA TECH E-3'!$D$15,0)</f>
        <v>0.002106625000000001</v>
      </c>
      <c r="G15" s="71">
        <f t="shared" si="2"/>
        <v>0</v>
      </c>
      <c r="H15" s="71">
        <f>IF($B15&lt;0,0,G15/POWER(1+'CALCULADORA TECH E-3'!$D$14,'Flujos Mensuales'!$B15/$A$3))</f>
        <v>0</v>
      </c>
      <c r="I15" s="71">
        <f>IF(B15&lt;0,0,G15/POWER(1+'CALCULADORA TECH E-3'!$D$21,'Flujos Mensuales'!B15/$A$3))</f>
        <v>0</v>
      </c>
      <c r="J15" s="132">
        <f t="shared" si="8"/>
        <v>0</v>
      </c>
      <c r="K15" s="73">
        <f t="shared" si="3"/>
        <v>0</v>
      </c>
      <c r="L15" s="64"/>
      <c r="M15" s="75">
        <f>VLOOKUP(A15,'CALCULADORA TECH E-3'!$C$29:$E$112,3,0)</f>
        <v>0</v>
      </c>
      <c r="N15" s="69">
        <f t="shared" si="7"/>
        <v>100</v>
      </c>
      <c r="O15" s="73">
        <f t="shared" si="6"/>
        <v>0</v>
      </c>
      <c r="P15" s="73">
        <f>IF(N14&gt;0.00000000001,N14*'CALCULADORA TECH E-3'!$E$15,0)</f>
        <v>0.058100000000000006</v>
      </c>
      <c r="Q15" s="71">
        <f t="shared" si="4"/>
        <v>0</v>
      </c>
      <c r="R15" s="71">
        <f>IF($B15&lt;0,0,Q15/POWER(1+'CALCULADORA TECH E-3'!$E$14,'Flujos Mensuales'!$B15/$A$3))</f>
        <v>0</v>
      </c>
      <c r="S15" s="71">
        <f>IF($B15&lt;0,0,Q15/POWER(1+'CALCULADORA TECH E-3'!$E$21,'Flujos Mensuales'!$B15/$A$3))</f>
        <v>0</v>
      </c>
      <c r="T15" s="132">
        <f t="shared" si="9"/>
        <v>0.0019</v>
      </c>
      <c r="U15" s="133">
        <f t="shared" si="5"/>
        <v>0</v>
      </c>
      <c r="W15" s="14">
        <v>8</v>
      </c>
      <c r="X15" s="14">
        <v>0</v>
      </c>
    </row>
    <row r="16" spans="1:24" s="14" customFormat="1" ht="12.75">
      <c r="A16" s="18">
        <f>_XLL.FECHA.MES(A15,1)</f>
        <v>38975</v>
      </c>
      <c r="B16" s="76">
        <f>DAYS360('CALCULADORA TECH E-3'!$G$8,A16,0)</f>
        <v>-270</v>
      </c>
      <c r="C16" s="78">
        <f>VLOOKUP(A16,'CALCULADORA TECH E-3'!$C$29:$E$112,2,0)</f>
        <v>0.08648296</v>
      </c>
      <c r="D16" s="69">
        <f t="shared" si="0"/>
        <v>0</v>
      </c>
      <c r="E16" s="73">
        <f t="shared" si="1"/>
        <v>8.648296</v>
      </c>
      <c r="F16" s="73">
        <f>IF(D15&gt;0.00000000001,D15*'CALCULADORA TECH E-3'!$D$15,0)</f>
        <v>0.0008648296000000008</v>
      </c>
      <c r="G16" s="71">
        <f t="shared" si="2"/>
        <v>0</v>
      </c>
      <c r="H16" s="71">
        <f>IF($B16&lt;0,0,G16/POWER(1+'CALCULADORA TECH E-3'!$D$14,'Flujos Mensuales'!$B16/$A$3))</f>
        <v>0</v>
      </c>
      <c r="I16" s="71">
        <f>IF(B16&lt;0,0,G16/POWER(1+'CALCULADORA TECH E-3'!$D$21,'Flujos Mensuales'!B16/$A$3))</f>
        <v>0</v>
      </c>
      <c r="J16" s="132">
        <f t="shared" si="8"/>
        <v>0</v>
      </c>
      <c r="K16" s="73">
        <f t="shared" si="3"/>
        <v>0</v>
      </c>
      <c r="L16" s="64"/>
      <c r="M16" s="75">
        <f>VLOOKUP(A16,'CALCULADORA TECH E-3'!$C$29:$E$112,3,0)</f>
        <v>0.14953061</v>
      </c>
      <c r="N16" s="69">
        <f t="shared" si="7"/>
        <v>85.046939</v>
      </c>
      <c r="O16" s="73">
        <f t="shared" si="6"/>
        <v>14.953061000000002</v>
      </c>
      <c r="P16" s="73">
        <f>IF(N15&gt;0.00000000001,N15*'CALCULADORA TECH E-3'!$E$15,0)</f>
        <v>0.058100000000000006</v>
      </c>
      <c r="Q16" s="71">
        <f t="shared" si="4"/>
        <v>0</v>
      </c>
      <c r="R16" s="71">
        <f>IF($B16&lt;0,0,Q16/POWER(1+'CALCULADORA TECH E-3'!$E$14,'Flujos Mensuales'!$B16/$A$3))</f>
        <v>0</v>
      </c>
      <c r="S16" s="71">
        <f>IF($B16&lt;0,0,Q16/POWER(1+'CALCULADORA TECH E-3'!$E$21,'Flujos Mensuales'!$B16/$A$3))</f>
        <v>0</v>
      </c>
      <c r="T16" s="132">
        <f t="shared" si="9"/>
        <v>0.0016</v>
      </c>
      <c r="U16" s="133">
        <f t="shared" si="5"/>
        <v>0</v>
      </c>
      <c r="W16" s="14">
        <v>9</v>
      </c>
      <c r="X16" s="14">
        <v>0</v>
      </c>
    </row>
    <row r="17" spans="1:24" s="14" customFormat="1" ht="12.75">
      <c r="A17" s="18">
        <f>_XLL.FECHA.MES(A16,1)</f>
        <v>39005</v>
      </c>
      <c r="B17" s="76">
        <f>DAYS360('CALCULADORA TECH E-3'!$G$8,A17,0)</f>
        <v>-240</v>
      </c>
      <c r="C17" s="78">
        <f>VLOOKUP(A17,'CALCULADORA TECH E-3'!$C$29:$E$112,2,0)</f>
        <v>0</v>
      </c>
      <c r="D17" s="69">
        <f t="shared" si="0"/>
        <v>0</v>
      </c>
      <c r="E17" s="73">
        <f t="shared" si="1"/>
        <v>0</v>
      </c>
      <c r="F17" s="73">
        <f>IF(D16&gt;0.00000000001,D16*'CALCULADORA TECH E-3'!$D$15,0)</f>
        <v>0</v>
      </c>
      <c r="G17" s="71">
        <f t="shared" si="2"/>
        <v>0</v>
      </c>
      <c r="H17" s="71">
        <f>IF($B17&lt;0,0,G17/POWER(1+'CALCULADORA TECH E-3'!$D$14,'Flujos Mensuales'!$B17/$A$3))</f>
        <v>0</v>
      </c>
      <c r="I17" s="71">
        <f>IF(B17&lt;0,0,G17/POWER(1+'CALCULADORA TECH E-3'!$D$21,'Flujos Mensuales'!B17/$A$3))</f>
        <v>0</v>
      </c>
      <c r="J17" s="132">
        <f t="shared" si="8"/>
        <v>0</v>
      </c>
      <c r="K17" s="73">
        <f t="shared" si="3"/>
        <v>0</v>
      </c>
      <c r="L17" s="64"/>
      <c r="M17" s="75">
        <f>VLOOKUP(A17,'CALCULADORA TECH E-3'!$C$29:$E$112,3,0)</f>
        <v>0.12469036</v>
      </c>
      <c r="N17" s="69">
        <f t="shared" si="7"/>
        <v>72.57790299999999</v>
      </c>
      <c r="O17" s="73">
        <f t="shared" si="6"/>
        <v>12.469036</v>
      </c>
      <c r="P17" s="73">
        <f>IF(N16&gt;0.00000000001,N16*'CALCULADORA TECH E-3'!$E$15,0)</f>
        <v>0.049412271559</v>
      </c>
      <c r="Q17" s="71">
        <f t="shared" si="4"/>
        <v>0</v>
      </c>
      <c r="R17" s="71">
        <f>IF($B17&lt;0,0,Q17/POWER(1+'CALCULADORA TECH E-3'!$E$14,'Flujos Mensuales'!$B17/$A$3))</f>
        <v>0</v>
      </c>
      <c r="S17" s="71">
        <f>IF($B17&lt;0,0,Q17/POWER(1+'CALCULADORA TECH E-3'!$E$21,'Flujos Mensuales'!$B17/$A$3))</f>
        <v>0</v>
      </c>
      <c r="T17" s="132">
        <f t="shared" si="9"/>
        <v>0.0014</v>
      </c>
      <c r="U17" s="133">
        <f t="shared" si="5"/>
        <v>0</v>
      </c>
      <c r="W17" s="14">
        <v>10</v>
      </c>
      <c r="X17" s="14">
        <v>0</v>
      </c>
    </row>
    <row r="18" spans="1:24" s="14" customFormat="1" ht="12.75">
      <c r="A18" s="18">
        <f>_XLL.FECHA.MES(A17,1)</f>
        <v>39036</v>
      </c>
      <c r="B18" s="76">
        <f>DAYS360('CALCULADORA TECH E-3'!$G$8,A18,0)</f>
        <v>-210</v>
      </c>
      <c r="C18" s="78">
        <f>VLOOKUP(A18,'CALCULADORA TECH E-3'!$C$29:$E$112,2,0)</f>
        <v>0</v>
      </c>
      <c r="D18" s="69">
        <f t="shared" si="0"/>
        <v>0</v>
      </c>
      <c r="E18" s="73">
        <f t="shared" si="1"/>
        <v>0</v>
      </c>
      <c r="F18" s="73">
        <f>IF(D17&gt;0.00000000001,D17*'CALCULADORA TECH E-3'!$D$15,0)</f>
        <v>0</v>
      </c>
      <c r="G18" s="71">
        <f t="shared" si="2"/>
        <v>0</v>
      </c>
      <c r="H18" s="71">
        <f>IF($B18&lt;0,0,G18/POWER(1+'CALCULADORA TECH E-3'!$D$14,'Flujos Mensuales'!$B18/$A$3))</f>
        <v>0</v>
      </c>
      <c r="I18" s="71">
        <f>IF(B18&lt;0,0,G18/POWER(1+'CALCULADORA TECH E-3'!$D$21,'Flujos Mensuales'!B18/$A$3))</f>
        <v>0</v>
      </c>
      <c r="J18" s="132">
        <f t="shared" si="8"/>
        <v>0</v>
      </c>
      <c r="K18" s="73">
        <f t="shared" si="3"/>
        <v>0</v>
      </c>
      <c r="L18" s="64"/>
      <c r="M18" s="75">
        <f>VLOOKUP(A18,'CALCULADORA TECH E-3'!$C$29:$E$112,3,0)</f>
        <v>0.14589588</v>
      </c>
      <c r="N18" s="69">
        <f t="shared" si="7"/>
        <v>57.98831499999999</v>
      </c>
      <c r="O18" s="73">
        <f t="shared" si="6"/>
        <v>14.589588000000001</v>
      </c>
      <c r="P18" s="73">
        <f>IF(N17&gt;0.00000000001,N17*'CALCULADORA TECH E-3'!$E$15,0)</f>
        <v>0.042167761643</v>
      </c>
      <c r="Q18" s="71">
        <f t="shared" si="4"/>
        <v>0</v>
      </c>
      <c r="R18" s="71">
        <f>IF($B18&lt;0,0,Q18/POWER(1+'CALCULADORA TECH E-3'!$E$14,'Flujos Mensuales'!$B18/$A$3))</f>
        <v>0</v>
      </c>
      <c r="S18" s="71">
        <f>IF($B18&lt;0,0,Q18/POWER(1+'CALCULADORA TECH E-3'!$E$21,'Flujos Mensuales'!$B18/$A$3))</f>
        <v>0</v>
      </c>
      <c r="T18" s="132">
        <f t="shared" si="9"/>
        <v>0.0011</v>
      </c>
      <c r="U18" s="133">
        <f t="shared" si="5"/>
        <v>0</v>
      </c>
      <c r="W18" s="14">
        <v>11</v>
      </c>
      <c r="X18" s="14">
        <v>0</v>
      </c>
    </row>
    <row r="19" spans="1:24" s="14" customFormat="1" ht="12.75">
      <c r="A19" s="18">
        <f>_XLL.FECHA.MES(A18,1)</f>
        <v>39066</v>
      </c>
      <c r="B19" s="76">
        <f>DAYS360('CALCULADORA TECH E-3'!$G$8,A19,0)</f>
        <v>-180</v>
      </c>
      <c r="C19" s="78">
        <f>VLOOKUP(A19,'CALCULADORA TECH E-3'!$C$29:$E$112,2,0)</f>
        <v>0</v>
      </c>
      <c r="D19" s="69">
        <f t="shared" si="0"/>
        <v>0</v>
      </c>
      <c r="E19" s="73">
        <f t="shared" si="1"/>
        <v>0</v>
      </c>
      <c r="F19" s="73">
        <f>IF(D18&gt;0.00000000001,D18*'CALCULADORA TECH E-3'!$D$15,0)</f>
        <v>0</v>
      </c>
      <c r="G19" s="71">
        <f t="shared" si="2"/>
        <v>0</v>
      </c>
      <c r="H19" s="71">
        <f>IF($B19&lt;0,0,G19/POWER(1+'CALCULADORA TECH E-3'!$D$14,'Flujos Mensuales'!$B19/$A$3))</f>
        <v>0</v>
      </c>
      <c r="I19" s="71">
        <f>IF(B19&lt;0,0,G19/POWER(1+'CALCULADORA TECH E-3'!$D$21,'Flujos Mensuales'!B19/$A$3))</f>
        <v>0</v>
      </c>
      <c r="J19" s="132">
        <f t="shared" si="8"/>
        <v>0</v>
      </c>
      <c r="K19" s="73">
        <f t="shared" si="3"/>
        <v>0</v>
      </c>
      <c r="L19" s="64"/>
      <c r="M19" s="75">
        <f>VLOOKUP(A19,'CALCULADORA TECH E-3'!$C$29:$E$112,3,0)</f>
        <v>0.12602953</v>
      </c>
      <c r="N19" s="69">
        <f t="shared" si="7"/>
        <v>45.38536199999999</v>
      </c>
      <c r="O19" s="73">
        <f t="shared" si="6"/>
        <v>12.602953</v>
      </c>
      <c r="P19" s="73">
        <f>IF(N18&gt;0.00000000001,N18*'CALCULADORA TECH E-3'!$E$15,0)</f>
        <v>0.033691211015</v>
      </c>
      <c r="Q19" s="71">
        <f t="shared" si="4"/>
        <v>0</v>
      </c>
      <c r="R19" s="71">
        <f>IF($B19&lt;0,0,Q19/POWER(1+'CALCULADORA TECH E-3'!$E$14,'Flujos Mensuales'!$B19/$A$3))</f>
        <v>0</v>
      </c>
      <c r="S19" s="71">
        <f>IF($B19&lt;0,0,Q19/POWER(1+'CALCULADORA TECH E-3'!$E$21,'Flujos Mensuales'!$B19/$A$3))</f>
        <v>0</v>
      </c>
      <c r="T19" s="132">
        <f t="shared" si="9"/>
        <v>0.0009</v>
      </c>
      <c r="U19" s="133">
        <f t="shared" si="5"/>
        <v>0</v>
      </c>
      <c r="W19" s="14">
        <v>12</v>
      </c>
      <c r="X19" s="14">
        <v>0</v>
      </c>
    </row>
    <row r="20" spans="1:24" s="14" customFormat="1" ht="12.75">
      <c r="A20" s="18">
        <f>_XLL.FECHA.MES(A19,1)</f>
        <v>39097</v>
      </c>
      <c r="B20" s="76">
        <f>DAYS360('CALCULADORA TECH E-3'!$G$8,A20,0)</f>
        <v>-150</v>
      </c>
      <c r="C20" s="78">
        <f>VLOOKUP(A20,'CALCULADORA TECH E-3'!$C$29:$E$112,2,0)</f>
        <v>0</v>
      </c>
      <c r="D20" s="69">
        <f t="shared" si="0"/>
        <v>0</v>
      </c>
      <c r="E20" s="73">
        <f t="shared" si="1"/>
        <v>0</v>
      </c>
      <c r="F20" s="73">
        <f>IF(D19&gt;0.00000000001,D19*'CALCULADORA TECH E-3'!$D$15,0)</f>
        <v>0</v>
      </c>
      <c r="G20" s="71">
        <f t="shared" si="2"/>
        <v>0</v>
      </c>
      <c r="H20" s="71">
        <f>IF($B20&lt;0,0,G20/POWER(1+'CALCULADORA TECH E-3'!$D$14,'Flujos Mensuales'!$B20/$A$3))</f>
        <v>0</v>
      </c>
      <c r="I20" s="71">
        <f>IF(B20&lt;0,0,G20/POWER(1+'CALCULADORA TECH E-3'!$D$21,'Flujos Mensuales'!B20/$A$3))</f>
        <v>0</v>
      </c>
      <c r="J20" s="132">
        <f t="shared" si="8"/>
        <v>0</v>
      </c>
      <c r="K20" s="73">
        <f t="shared" si="3"/>
        <v>0</v>
      </c>
      <c r="L20" s="64"/>
      <c r="M20" s="75">
        <f>VLOOKUP(A20,'CALCULADORA TECH E-3'!$C$29:$E$112,3,0)</f>
        <v>0.10773726</v>
      </c>
      <c r="N20" s="69">
        <f t="shared" si="7"/>
        <v>34.61163599999999</v>
      </c>
      <c r="O20" s="73">
        <f t="shared" si="6"/>
        <v>10.773726</v>
      </c>
      <c r="P20" s="73">
        <f>IF(N19&gt;0.00000000001,N19*'CALCULADORA TECH E-3'!$E$15,0)</f>
        <v>0.026368895321999996</v>
      </c>
      <c r="Q20" s="71">
        <f t="shared" si="4"/>
        <v>0</v>
      </c>
      <c r="R20" s="71">
        <f>IF($B20&lt;0,0,Q20/POWER(1+'CALCULADORA TECH E-3'!$E$14,'Flujos Mensuales'!$B20/$A$3))</f>
        <v>0</v>
      </c>
      <c r="S20" s="71">
        <f>IF($B20&lt;0,0,Q20/POWER(1+'CALCULADORA TECH E-3'!$E$21,'Flujos Mensuales'!$B20/$A$3))</f>
        <v>0</v>
      </c>
      <c r="T20" s="132">
        <f t="shared" si="9"/>
        <v>0.0007</v>
      </c>
      <c r="U20" s="133">
        <f t="shared" si="5"/>
        <v>0</v>
      </c>
      <c r="W20" s="14">
        <v>13</v>
      </c>
      <c r="X20" s="14">
        <v>0</v>
      </c>
    </row>
    <row r="21" spans="1:24" s="14" customFormat="1" ht="12.75">
      <c r="A21" s="18">
        <f>_XLL.FECHA.MES(A20,1)</f>
        <v>39128</v>
      </c>
      <c r="B21" s="76">
        <f>DAYS360('CALCULADORA TECH E-3'!$G$8,A21,0)</f>
        <v>-120</v>
      </c>
      <c r="C21" s="78">
        <f>VLOOKUP(A21,'CALCULADORA TECH E-3'!$C$29:$E$112,2,0)</f>
        <v>0</v>
      </c>
      <c r="D21" s="69">
        <f t="shared" si="0"/>
        <v>0</v>
      </c>
      <c r="E21" s="73">
        <f t="shared" si="1"/>
        <v>0</v>
      </c>
      <c r="F21" s="73">
        <f>IF(D20&gt;0.00000000001,D20*'CALCULADORA TECH E-3'!$D$15,0)</f>
        <v>0</v>
      </c>
      <c r="G21" s="71">
        <f t="shared" si="2"/>
        <v>0</v>
      </c>
      <c r="H21" s="71">
        <f>IF($B21&lt;0,0,G21/POWER(1+'CALCULADORA TECH E-3'!$D$14,'Flujos Mensuales'!$B21/$A$3))</f>
        <v>0</v>
      </c>
      <c r="I21" s="71">
        <f>IF(B21&lt;0,0,G21/POWER(1+'CALCULADORA TECH E-3'!$D$21,'Flujos Mensuales'!B21/$A$3))</f>
        <v>0</v>
      </c>
      <c r="J21" s="132">
        <f t="shared" si="8"/>
        <v>0</v>
      </c>
      <c r="K21" s="73">
        <f t="shared" si="3"/>
        <v>0</v>
      </c>
      <c r="L21" s="64"/>
      <c r="M21" s="75">
        <f>VLOOKUP(A21,'CALCULADORA TECH E-3'!$C$29:$E$112,3,0)</f>
        <v>0.09165127</v>
      </c>
      <c r="N21" s="69">
        <f t="shared" si="7"/>
        <v>25.446508999999992</v>
      </c>
      <c r="O21" s="73">
        <f t="shared" si="6"/>
        <v>9.165127</v>
      </c>
      <c r="P21" s="73">
        <f>IF(N20&gt;0.00000000001,N20*'CALCULADORA TECH E-3'!$E$15,0)</f>
        <v>0.020109360515999996</v>
      </c>
      <c r="Q21" s="71">
        <f t="shared" si="4"/>
        <v>0</v>
      </c>
      <c r="R21" s="71">
        <f>IF($B21&lt;0,0,Q21/POWER(1+'CALCULADORA TECH E-3'!$E$14,'Flujos Mensuales'!$B21/$A$3))</f>
        <v>0</v>
      </c>
      <c r="S21" s="71">
        <f>IF($B21&lt;0,0,Q21/POWER(1+'CALCULADORA TECH E-3'!$E$21,'Flujos Mensuales'!$B21/$A$3))</f>
        <v>0</v>
      </c>
      <c r="T21" s="132">
        <f t="shared" si="9"/>
        <v>0.0005</v>
      </c>
      <c r="U21" s="133">
        <f t="shared" si="5"/>
        <v>0</v>
      </c>
      <c r="W21" s="14">
        <v>14</v>
      </c>
      <c r="X21" s="14">
        <v>0</v>
      </c>
    </row>
    <row r="22" spans="1:24" s="14" customFormat="1" ht="12.75">
      <c r="A22" s="18">
        <f>_XLL.FECHA.MES(A21,1)</f>
        <v>39156</v>
      </c>
      <c r="B22" s="76">
        <f>DAYS360('CALCULADORA TECH E-3'!$G$8,A22,0)</f>
        <v>-90</v>
      </c>
      <c r="C22" s="78">
        <f>VLOOKUP(A22,'CALCULADORA TECH E-3'!$C$29:$E$112,2,0)</f>
        <v>0</v>
      </c>
      <c r="D22" s="69">
        <f t="shared" si="0"/>
        <v>0</v>
      </c>
      <c r="E22" s="73">
        <f t="shared" si="1"/>
        <v>0</v>
      </c>
      <c r="F22" s="73">
        <f>IF(D21&gt;0.00000000001,D21*'CALCULADORA TECH E-3'!$D$15,0)</f>
        <v>0</v>
      </c>
      <c r="G22" s="71">
        <f t="shared" si="2"/>
        <v>0</v>
      </c>
      <c r="H22" s="71">
        <f>IF($B22&lt;0,0,G22/POWER(1+'CALCULADORA TECH E-3'!$D$14,'Flujos Mensuales'!$B22/$A$3))</f>
        <v>0</v>
      </c>
      <c r="I22" s="71">
        <f>IF(B22&lt;0,0,G22/POWER(1+'CALCULADORA TECH E-3'!$D$21,'Flujos Mensuales'!B22/$A$3))</f>
        <v>0</v>
      </c>
      <c r="J22" s="132">
        <f t="shared" si="8"/>
        <v>0</v>
      </c>
      <c r="K22" s="73">
        <f t="shared" si="3"/>
        <v>0</v>
      </c>
      <c r="L22" s="64"/>
      <c r="M22" s="75">
        <f>VLOOKUP(A22,'CALCULADORA TECH E-3'!$C$29:$E$112,3,0)</f>
        <v>0.08807158</v>
      </c>
      <c r="N22" s="69">
        <f t="shared" si="7"/>
        <v>16.63935099999999</v>
      </c>
      <c r="O22" s="73">
        <f t="shared" si="6"/>
        <v>8.807158</v>
      </c>
      <c r="P22" s="73">
        <f>IF(N21&gt;0.00000000001,N21*'CALCULADORA TECH E-3'!$E$15,0)</f>
        <v>0.014784421728999997</v>
      </c>
      <c r="Q22" s="71">
        <f t="shared" si="4"/>
        <v>0</v>
      </c>
      <c r="R22" s="71">
        <f>IF($B22&lt;0,0,Q22/POWER(1+'CALCULADORA TECH E-3'!$E$14,'Flujos Mensuales'!$B22/$A$3))</f>
        <v>0</v>
      </c>
      <c r="S22" s="71">
        <f>IF($B22&lt;0,0,Q22/POWER(1+'CALCULADORA TECH E-3'!$E$21,'Flujos Mensuales'!$B22/$A$3))</f>
        <v>0</v>
      </c>
      <c r="T22" s="132">
        <f t="shared" si="9"/>
        <v>0.0003</v>
      </c>
      <c r="U22" s="133">
        <f t="shared" si="5"/>
        <v>0</v>
      </c>
      <c r="W22" s="14">
        <v>15</v>
      </c>
      <c r="X22" s="14">
        <v>0</v>
      </c>
    </row>
    <row r="23" spans="1:24" s="14" customFormat="1" ht="12.75">
      <c r="A23" s="18">
        <f>_XLL.FECHA.MES(A22,1)</f>
        <v>39187</v>
      </c>
      <c r="B23" s="76">
        <f>DAYS360('CALCULADORA TECH E-3'!$G$8,A23,0)</f>
        <v>-60</v>
      </c>
      <c r="C23" s="78">
        <f>VLOOKUP(A23,'CALCULADORA TECH E-3'!$C$29:$E$112,2,0)</f>
        <v>0</v>
      </c>
      <c r="D23" s="69">
        <f t="shared" si="0"/>
        <v>0</v>
      </c>
      <c r="E23" s="73">
        <f t="shared" si="1"/>
        <v>0</v>
      </c>
      <c r="F23" s="73">
        <f>IF(D22&gt;0.00000000001,D22*'CALCULADORA TECH E-3'!$D$15,0)</f>
        <v>0</v>
      </c>
      <c r="G23" s="71">
        <f t="shared" si="2"/>
        <v>0</v>
      </c>
      <c r="H23" s="71">
        <f>IF($B23&lt;0,0,G23/POWER(1+'CALCULADORA TECH E-3'!$D$14,'Flujos Mensuales'!$B23/$A$3))</f>
        <v>0</v>
      </c>
      <c r="I23" s="71">
        <f>IF(B23&lt;0,0,G23/POWER(1+'CALCULADORA TECH E-3'!$D$21,'Flujos Mensuales'!B23/$A$3))</f>
        <v>0</v>
      </c>
      <c r="J23" s="132">
        <f t="shared" si="8"/>
        <v>0</v>
      </c>
      <c r="K23" s="73">
        <f t="shared" si="3"/>
        <v>0</v>
      </c>
      <c r="L23" s="64"/>
      <c r="M23" s="75">
        <f>VLOOKUP(A23,'CALCULADORA TECH E-3'!$C$29:$E$112,3,0)</f>
        <v>0.06752771</v>
      </c>
      <c r="N23" s="69">
        <f t="shared" si="7"/>
        <v>9.886579999999991</v>
      </c>
      <c r="O23" s="73">
        <f t="shared" si="6"/>
        <v>6.752771</v>
      </c>
      <c r="P23" s="73">
        <f>IF(N22&gt;0.00000000001,N22*'CALCULADORA TECH E-3'!$E$15,0)</f>
        <v>0.009667462930999996</v>
      </c>
      <c r="Q23" s="71">
        <f t="shared" si="4"/>
        <v>0</v>
      </c>
      <c r="R23" s="71">
        <f>IF($B23&lt;0,0,Q23/POWER(1+'CALCULADORA TECH E-3'!$E$14,'Flujos Mensuales'!$B23/$A$3))</f>
        <v>0</v>
      </c>
      <c r="S23" s="71">
        <f>IF($B23&lt;0,0,Q23/POWER(1+'CALCULADORA TECH E-3'!$E$21,'Flujos Mensuales'!$B23/$A$3))</f>
        <v>0</v>
      </c>
      <c r="T23" s="132">
        <f t="shared" si="9"/>
        <v>0.0002</v>
      </c>
      <c r="U23" s="133">
        <f t="shared" si="5"/>
        <v>0</v>
      </c>
      <c r="W23" s="14">
        <v>16</v>
      </c>
      <c r="X23" s="14">
        <v>0</v>
      </c>
    </row>
    <row r="24" spans="1:24" s="14" customFormat="1" ht="12.75">
      <c r="A24" s="18">
        <f>_XLL.FECHA.MES(A23,1)</f>
        <v>39217</v>
      </c>
      <c r="B24" s="76">
        <f>DAYS360('CALCULADORA TECH E-3'!$G$8,A24,0)</f>
        <v>-30</v>
      </c>
      <c r="C24" s="78">
        <f>VLOOKUP(A24,'CALCULADORA TECH E-3'!$C$29:$E$112,2,0)</f>
        <v>0</v>
      </c>
      <c r="D24" s="69">
        <f t="shared" si="0"/>
        <v>0</v>
      </c>
      <c r="E24" s="73">
        <f t="shared" si="1"/>
        <v>0</v>
      </c>
      <c r="F24" s="73">
        <f>IF(D23&gt;0.00000000001,D23*'CALCULADORA TECH E-3'!$D$15,0)</f>
        <v>0</v>
      </c>
      <c r="G24" s="71">
        <f t="shared" si="2"/>
        <v>0</v>
      </c>
      <c r="H24" s="71">
        <f>IF($B24&lt;0,0,G24/POWER(1+'CALCULADORA TECH E-3'!$D$14,'Flujos Mensuales'!$B24/$A$3))</f>
        <v>0</v>
      </c>
      <c r="I24" s="71">
        <f>IF(B24&lt;0,0,G24/POWER(1+'CALCULADORA TECH E-3'!$D$21,'Flujos Mensuales'!B24/$A$3))</f>
        <v>0</v>
      </c>
      <c r="J24" s="132">
        <f t="shared" si="8"/>
        <v>0</v>
      </c>
      <c r="K24" s="73">
        <f t="shared" si="3"/>
        <v>0</v>
      </c>
      <c r="L24" s="64"/>
      <c r="M24" s="75">
        <f>VLOOKUP(A24,'CALCULADORA TECH E-3'!$C$29:$E$112,3,0)</f>
        <v>0.03943122</v>
      </c>
      <c r="N24" s="69">
        <f t="shared" si="7"/>
        <v>5.943457999999991</v>
      </c>
      <c r="O24" s="73">
        <f t="shared" si="6"/>
        <v>3.9431220000000002</v>
      </c>
      <c r="P24" s="73">
        <f>IF(N23&gt;0.00000000001,N23*'CALCULADORA TECH E-3'!$E$15,0)</f>
        <v>0.005744102979999995</v>
      </c>
      <c r="Q24" s="71">
        <f t="shared" si="4"/>
        <v>0</v>
      </c>
      <c r="R24" s="71">
        <f>IF($B24&lt;0,0,Q24/POWER(1+'CALCULADORA TECH E-3'!$E$14,'Flujos Mensuales'!$B24/$A$3))</f>
        <v>0</v>
      </c>
      <c r="S24" s="71">
        <f>IF($B24&lt;0,0,Q24/POWER(1+'CALCULADORA TECH E-3'!$E$21,'Flujos Mensuales'!$B24/$A$3))</f>
        <v>0</v>
      </c>
      <c r="T24" s="132">
        <f t="shared" si="9"/>
        <v>0.0001</v>
      </c>
      <c r="U24" s="133">
        <f t="shared" si="5"/>
        <v>0</v>
      </c>
      <c r="W24" s="14">
        <v>17</v>
      </c>
      <c r="X24" s="14">
        <v>0</v>
      </c>
    </row>
    <row r="25" spans="1:24" s="178" customFormat="1" ht="12.75">
      <c r="A25" s="176">
        <f>_XLL.FECHA.MES(A24,1)</f>
        <v>39248</v>
      </c>
      <c r="B25" s="101">
        <f>DAYS360('CALCULADORA TECH E-3'!$G$8,A25,0)</f>
        <v>0</v>
      </c>
      <c r="C25" s="102">
        <f>VLOOKUP(A25,'CALCULADORA TECH E-3'!$C$29:$E$112,2,0)</f>
        <v>0</v>
      </c>
      <c r="D25" s="177">
        <f t="shared" si="0"/>
        <v>0</v>
      </c>
      <c r="E25" s="103">
        <f t="shared" si="1"/>
        <v>0</v>
      </c>
      <c r="F25" s="103">
        <f>IF(D24&gt;0.00000000001,D24*'CALCULADORA TECH E-3'!$D$15,0)</f>
        <v>0</v>
      </c>
      <c r="G25" s="104">
        <f aca="true" t="shared" si="10" ref="G25:G34">IF(B25&lt;1,0,F25+E25)</f>
        <v>0</v>
      </c>
      <c r="H25" s="104">
        <f>IF($B25&lt;0,0,G25/POWER(1+'CALCULADORA TECH E-3'!$D$14,'Flujos Mensuales'!$B25/$A$3))</f>
        <v>0</v>
      </c>
      <c r="I25" s="104">
        <f>IF(B25&lt;0,0,G25/POWER(1+'CALCULADORA TECH E-3'!$D$21,'Flujos Mensuales'!B25/$A$3))</f>
        <v>0</v>
      </c>
      <c r="J25" s="105">
        <f t="shared" si="8"/>
        <v>0</v>
      </c>
      <c r="K25" s="103">
        <f t="shared" si="3"/>
        <v>0</v>
      </c>
      <c r="L25" s="183"/>
      <c r="M25" s="106">
        <f>VLOOKUP(A25,'CALCULADORA TECH E-3'!$C$29:$E$112,3,0)</f>
        <v>0.05335454</v>
      </c>
      <c r="N25" s="177">
        <f t="shared" si="7"/>
        <v>0.6080039999999913</v>
      </c>
      <c r="O25" s="103">
        <f t="shared" si="6"/>
        <v>5.3354539999999995</v>
      </c>
      <c r="P25" s="103">
        <f>IF(N24&gt;0.00000000001,N24*'CALCULADORA TECH E-3'!$E$15,0)</f>
        <v>0.003453149097999995</v>
      </c>
      <c r="Q25" s="104">
        <f t="shared" si="4"/>
        <v>0</v>
      </c>
      <c r="R25" s="104">
        <f>IF($B25&lt;0,0,Q25/POWER(1+'CALCULADORA TECH E-3'!$E$14,'Flujos Mensuales'!$B25/$A$3))</f>
        <v>0</v>
      </c>
      <c r="S25" s="104">
        <f>IF($B25&lt;0,0,Q25/POWER(1+'CALCULADORA TECH E-3'!$E$21,'Flujos Mensuales'!$B25/$A$3))</f>
        <v>0</v>
      </c>
      <c r="T25" s="105">
        <f t="shared" si="9"/>
        <v>0</v>
      </c>
      <c r="U25" s="107">
        <f t="shared" si="5"/>
        <v>0</v>
      </c>
      <c r="W25" s="182">
        <v>18</v>
      </c>
      <c r="X25" s="182">
        <v>0</v>
      </c>
    </row>
    <row r="26" spans="1:24" ht="12.75">
      <c r="A26" s="13">
        <f>_XLL.FECHA.MES(A25,1)</f>
        <v>39278</v>
      </c>
      <c r="B26" s="76">
        <f>DAYS360('CALCULADORA TECH E-3'!$G$8,A26,0)</f>
        <v>30</v>
      </c>
      <c r="C26" s="77">
        <f>VLOOKUP(A26,'CALCULADORA TECH E-3'!$C$29:$E$112,2,0)</f>
        <v>0</v>
      </c>
      <c r="D26" s="68">
        <f t="shared" si="0"/>
        <v>0</v>
      </c>
      <c r="E26" s="70">
        <f t="shared" si="1"/>
        <v>0</v>
      </c>
      <c r="F26" s="73">
        <f>IF(D25&gt;0.00000000001,D25*'CALCULADORA TECH E-3'!$D$15,0)</f>
        <v>0</v>
      </c>
      <c r="G26" s="71">
        <f t="shared" si="10"/>
        <v>0</v>
      </c>
      <c r="H26" s="71">
        <f>IF($B26&lt;0,0,G26/POWER(1+'CALCULADORA TECH E-3'!$D$14,'Flujos Mensuales'!$B26/$A$3))</f>
        <v>0</v>
      </c>
      <c r="I26" s="71">
        <f>IF(B26&lt;0,0,G26/POWER(1+'CALCULADORA TECH E-3'!$D$21,'Flujos Mensuales'!B26/$A$3))</f>
        <v>0</v>
      </c>
      <c r="J26" s="72">
        <f t="shared" si="8"/>
        <v>0</v>
      </c>
      <c r="K26" s="70">
        <f t="shared" si="3"/>
        <v>0</v>
      </c>
      <c r="L26" s="62"/>
      <c r="M26" s="77">
        <f>VLOOKUP(A26,'CALCULADORA TECH E-3'!$C$29:$E$112,3,0)</f>
        <v>0.00608004</v>
      </c>
      <c r="N26" s="68">
        <f t="shared" si="7"/>
        <v>-8.659739592076221E-15</v>
      </c>
      <c r="O26" s="70">
        <f t="shared" si="6"/>
        <v>0.608004</v>
      </c>
      <c r="P26" s="73">
        <f>IF(N25&gt;0.00000000001,N25*'CALCULADORA TECH E-3'!$E$15,0)</f>
        <v>0.00035325032399999496</v>
      </c>
      <c r="Q26" s="71">
        <f t="shared" si="4"/>
        <v>0.608357250324</v>
      </c>
      <c r="R26" s="71">
        <f>IF($B26&lt;0,0,Q26/POWER(1+'CALCULADORA TECH E-3'!$E$14,'Flujos Mensuales'!$B26/$A$3))</f>
        <v>0.6080037143233952</v>
      </c>
      <c r="S26" s="71">
        <f>IF($B26&lt;0,0,Q26/POWER(1+'CALCULADORA TECH E-3'!$E$21,'Flujos Mensuales'!$B26/$A$3))</f>
        <v>0.6080037143233952</v>
      </c>
      <c r="T26" s="72">
        <f t="shared" si="9"/>
        <v>0</v>
      </c>
      <c r="U26" s="89">
        <f t="shared" si="5"/>
        <v>18.240111429701855</v>
      </c>
      <c r="W26" s="12">
        <v>19</v>
      </c>
      <c r="X26" s="1">
        <f aca="true" t="shared" si="11" ref="X25:X80">+X25+1</f>
        <v>1</v>
      </c>
    </row>
    <row r="27" spans="1:24" ht="12.75">
      <c r="A27" s="13">
        <f>_XLL.FECHA.MES(A26,1)</f>
        <v>39309</v>
      </c>
      <c r="B27" s="76">
        <f>DAYS360('CALCULADORA TECH E-3'!$G$8,A27,0)</f>
        <v>60</v>
      </c>
      <c r="C27" s="77">
        <f>VLOOKUP(A27,'CALCULADORA TECH E-3'!$C$29:$E$112,2,0)</f>
        <v>0</v>
      </c>
      <c r="D27" s="68">
        <f t="shared" si="0"/>
        <v>0</v>
      </c>
      <c r="E27" s="70">
        <f t="shared" si="1"/>
        <v>0</v>
      </c>
      <c r="F27" s="73">
        <f>IF(D26&gt;0.00000000001,D26*'CALCULADORA TECH E-3'!$D$15,0)</f>
        <v>0</v>
      </c>
      <c r="G27" s="71">
        <f t="shared" si="10"/>
        <v>0</v>
      </c>
      <c r="H27" s="71">
        <f>IF($B27&lt;0,0,G27/POWER(1+'CALCULADORA TECH E-3'!$D$14,'Flujos Mensuales'!$B27/$A$3))</f>
        <v>0</v>
      </c>
      <c r="I27" s="71">
        <f>IF(B27&lt;0,0,G27/POWER(1+'CALCULADORA TECH E-3'!$D$21,'Flujos Mensuales'!B27/$A$3))</f>
        <v>0</v>
      </c>
      <c r="J27" s="72">
        <f t="shared" si="8"/>
        <v>0</v>
      </c>
      <c r="K27" s="70">
        <f t="shared" si="3"/>
        <v>0</v>
      </c>
      <c r="L27" s="62"/>
      <c r="M27" s="74">
        <f>VLOOKUP(A27,'CALCULADORA TECH E-3'!$C$29:$E$112,3,0)</f>
        <v>0</v>
      </c>
      <c r="N27" s="68">
        <f t="shared" si="7"/>
        <v>-8.659739592076221E-15</v>
      </c>
      <c r="O27" s="70">
        <f t="shared" si="6"/>
        <v>0</v>
      </c>
      <c r="P27" s="73">
        <f>IF(N26&gt;0.00000000001,N26*'CALCULADORA TECH E-3'!$E$15,0)</f>
        <v>0</v>
      </c>
      <c r="Q27" s="71">
        <f t="shared" si="4"/>
        <v>0</v>
      </c>
      <c r="R27" s="71">
        <f>IF($B27&lt;0,0,Q27/POWER(1+'CALCULADORA TECH E-3'!$E$14,'Flujos Mensuales'!$B27/$A$3))</f>
        <v>0</v>
      </c>
      <c r="S27" s="71">
        <f>IF($B27&lt;0,0,Q27/POWER(1+'CALCULADORA TECH E-3'!$E$21,'Flujos Mensuales'!$B27/$A$3))</f>
        <v>0</v>
      </c>
      <c r="T27" s="72">
        <f t="shared" si="9"/>
        <v>0</v>
      </c>
      <c r="U27" s="89">
        <f t="shared" si="5"/>
        <v>0</v>
      </c>
      <c r="W27" s="1">
        <v>20</v>
      </c>
      <c r="X27" s="1">
        <f t="shared" si="11"/>
        <v>2</v>
      </c>
    </row>
    <row r="28" spans="1:24" ht="12.75">
      <c r="A28" s="13">
        <f>_XLL.FECHA.MES(A27,1)</f>
        <v>39340</v>
      </c>
      <c r="B28" s="76">
        <f>DAYS360('CALCULADORA TECH E-3'!$G$8,A28,0)</f>
        <v>90</v>
      </c>
      <c r="C28" s="77">
        <f>VLOOKUP(A28,'CALCULADORA TECH E-3'!$C$29:$E$112,2,0)</f>
        <v>0</v>
      </c>
      <c r="D28" s="68">
        <f t="shared" si="0"/>
        <v>0</v>
      </c>
      <c r="E28" s="70">
        <f t="shared" si="1"/>
        <v>0</v>
      </c>
      <c r="F28" s="73">
        <f>IF(D27&gt;0.00000000001,D27*'CALCULADORA TECH E-3'!$D$15,0)</f>
        <v>0</v>
      </c>
      <c r="G28" s="71">
        <f t="shared" si="10"/>
        <v>0</v>
      </c>
      <c r="H28" s="71">
        <f>IF($B28&lt;0,0,G28/POWER(1+'CALCULADORA TECH E-3'!$D$14,'Flujos Mensuales'!$B28/$A$3))</f>
        <v>0</v>
      </c>
      <c r="I28" s="71">
        <f>IF(B28&lt;0,0,G28/POWER(1+'CALCULADORA TECH E-3'!$D$21,'Flujos Mensuales'!B28/$A$3))</f>
        <v>0</v>
      </c>
      <c r="J28" s="72">
        <f t="shared" si="8"/>
        <v>0</v>
      </c>
      <c r="K28" s="70">
        <f t="shared" si="3"/>
        <v>0</v>
      </c>
      <c r="L28" s="62"/>
      <c r="M28" s="74">
        <f>VLOOKUP(A28,'CALCULADORA TECH E-3'!$C$29:$E$112,3,0)</f>
        <v>0</v>
      </c>
      <c r="N28" s="68">
        <f t="shared" si="7"/>
        <v>-8.659739592076221E-15</v>
      </c>
      <c r="O28" s="70">
        <f t="shared" si="6"/>
        <v>0</v>
      </c>
      <c r="P28" s="73">
        <f>IF(N27&gt;0.00000000001,N27*'CALCULADORA TECH E-3'!$E$15,0)</f>
        <v>0</v>
      </c>
      <c r="Q28" s="71">
        <f t="shared" si="4"/>
        <v>0</v>
      </c>
      <c r="R28" s="71">
        <f>IF($B28&lt;0,0,Q28/POWER(1+'CALCULADORA TECH E-3'!$E$14,'Flujos Mensuales'!$B28/$A$3))</f>
        <v>0</v>
      </c>
      <c r="S28" s="71">
        <f>IF($B28&lt;0,0,Q28/POWER(1+'CALCULADORA TECH E-3'!$E$21,'Flujos Mensuales'!$B28/$A$3))</f>
        <v>0</v>
      </c>
      <c r="T28" s="72">
        <f t="shared" si="9"/>
        <v>0</v>
      </c>
      <c r="U28" s="89">
        <f t="shared" si="5"/>
        <v>0</v>
      </c>
      <c r="W28" s="1">
        <v>21</v>
      </c>
      <c r="X28" s="1">
        <f t="shared" si="11"/>
        <v>3</v>
      </c>
    </row>
    <row r="29" spans="1:24" ht="12.75">
      <c r="A29" s="13">
        <f>_XLL.FECHA.MES(A28,1)</f>
        <v>39370</v>
      </c>
      <c r="B29" s="76">
        <f>DAYS360('CALCULADORA TECH E-3'!$G$8,A29,0)</f>
        <v>120</v>
      </c>
      <c r="C29" s="77">
        <f>VLOOKUP(A29,'CALCULADORA TECH E-3'!$C$29:$E$112,2,0)</f>
        <v>0</v>
      </c>
      <c r="D29" s="68">
        <f t="shared" si="0"/>
        <v>0</v>
      </c>
      <c r="E29" s="70">
        <f t="shared" si="1"/>
        <v>0</v>
      </c>
      <c r="F29" s="73">
        <f>IF(D28&gt;0.00000000001,D28*'CALCULADORA TECH E-3'!$D$15,0)</f>
        <v>0</v>
      </c>
      <c r="G29" s="71">
        <f t="shared" si="10"/>
        <v>0</v>
      </c>
      <c r="H29" s="71">
        <f>IF($B29&lt;0,0,G29/POWER(1+'CALCULADORA TECH E-3'!$D$14,'Flujos Mensuales'!$B29/$A$3))</f>
        <v>0</v>
      </c>
      <c r="I29" s="71">
        <f>IF(B29&lt;0,0,G29/POWER(1+'CALCULADORA TECH E-3'!$D$21,'Flujos Mensuales'!B29/$A$3))</f>
        <v>0</v>
      </c>
      <c r="J29" s="72">
        <f t="shared" si="8"/>
        <v>0</v>
      </c>
      <c r="K29" s="70">
        <f t="shared" si="3"/>
        <v>0</v>
      </c>
      <c r="L29" s="62"/>
      <c r="M29" s="74">
        <f>VLOOKUP(A29,'CALCULADORA TECH E-3'!$C$29:$E$112,3,0)</f>
        <v>0</v>
      </c>
      <c r="N29" s="68">
        <f t="shared" si="7"/>
        <v>-8.659739592076221E-15</v>
      </c>
      <c r="O29" s="70">
        <f t="shared" si="6"/>
        <v>0</v>
      </c>
      <c r="P29" s="73">
        <f>IF(N28&gt;0.00000000001,N28*'CALCULADORA TECH E-3'!$E$15,0)</f>
        <v>0</v>
      </c>
      <c r="Q29" s="71">
        <f t="shared" si="4"/>
        <v>0</v>
      </c>
      <c r="R29" s="71">
        <f>IF($B29&lt;0,0,Q29/POWER(1+'CALCULADORA TECH E-3'!$E$14,'Flujos Mensuales'!$B29/$A$3))</f>
        <v>0</v>
      </c>
      <c r="S29" s="71">
        <f>IF($B29&lt;0,0,Q29/POWER(1+'CALCULADORA TECH E-3'!$E$21,'Flujos Mensuales'!$B29/$A$3))</f>
        <v>0</v>
      </c>
      <c r="T29" s="72">
        <f t="shared" si="9"/>
        <v>0</v>
      </c>
      <c r="U29" s="89">
        <f t="shared" si="5"/>
        <v>0</v>
      </c>
      <c r="W29" s="12">
        <v>22</v>
      </c>
      <c r="X29" s="1">
        <f t="shared" si="11"/>
        <v>4</v>
      </c>
    </row>
    <row r="30" spans="1:24" ht="12.75">
      <c r="A30" s="13">
        <f>_XLL.FECHA.MES(A29,1)</f>
        <v>39401</v>
      </c>
      <c r="B30" s="76">
        <f>DAYS360('CALCULADORA TECH E-3'!$G$8,A30,0)</f>
        <v>150</v>
      </c>
      <c r="C30" s="77">
        <f>VLOOKUP(A30,'CALCULADORA TECH E-3'!$C$29:$E$112,2,0)</f>
        <v>0</v>
      </c>
      <c r="D30" s="68">
        <f t="shared" si="0"/>
        <v>0</v>
      </c>
      <c r="E30" s="70">
        <f t="shared" si="1"/>
        <v>0</v>
      </c>
      <c r="F30" s="73">
        <f>IF(D29&gt;0.00000000001,D29*'CALCULADORA TECH E-3'!$D$15,0)</f>
        <v>0</v>
      </c>
      <c r="G30" s="71">
        <f t="shared" si="10"/>
        <v>0</v>
      </c>
      <c r="H30" s="71">
        <f>IF($B30&lt;0,0,G30/POWER(1+'CALCULADORA TECH E-3'!$D$14,'Flujos Mensuales'!$B30/$A$3))</f>
        <v>0</v>
      </c>
      <c r="I30" s="71">
        <f>IF(B30&lt;0,0,G30/POWER(1+'CALCULADORA TECH E-3'!$D$21,'Flujos Mensuales'!B30/$A$3))</f>
        <v>0</v>
      </c>
      <c r="J30" s="72">
        <f t="shared" si="8"/>
        <v>0</v>
      </c>
      <c r="K30" s="70">
        <f t="shared" si="3"/>
        <v>0</v>
      </c>
      <c r="L30" s="62"/>
      <c r="M30" s="74">
        <f>VLOOKUP(A30,'CALCULADORA TECH E-3'!$C$29:$E$112,3,0)</f>
        <v>0</v>
      </c>
      <c r="N30" s="68">
        <f t="shared" si="7"/>
        <v>-8.659739592076221E-15</v>
      </c>
      <c r="O30" s="70">
        <f t="shared" si="6"/>
        <v>0</v>
      </c>
      <c r="P30" s="73">
        <f>IF(N29&gt;0.00000000001,N29*'CALCULADORA TECH E-3'!$E$15,0)</f>
        <v>0</v>
      </c>
      <c r="Q30" s="71">
        <f t="shared" si="4"/>
        <v>0</v>
      </c>
      <c r="R30" s="71">
        <f>IF($B30&lt;0,0,Q30/POWER(1+'CALCULADORA TECH E-3'!$E$14,'Flujos Mensuales'!$B30/$A$3))</f>
        <v>0</v>
      </c>
      <c r="S30" s="71">
        <f>IF($B30&lt;0,0,Q30/POWER(1+'CALCULADORA TECH E-3'!$E$21,'Flujos Mensuales'!$B30/$A$3))</f>
        <v>0</v>
      </c>
      <c r="T30" s="72">
        <f t="shared" si="9"/>
        <v>0</v>
      </c>
      <c r="U30" s="89">
        <f t="shared" si="5"/>
        <v>0</v>
      </c>
      <c r="W30" s="1">
        <v>23</v>
      </c>
      <c r="X30" s="1">
        <f t="shared" si="11"/>
        <v>5</v>
      </c>
    </row>
    <row r="31" spans="1:24" ht="12.75">
      <c r="A31" s="13">
        <f>_XLL.FECHA.MES(A30,1)</f>
        <v>39431</v>
      </c>
      <c r="B31" s="76">
        <f>DAYS360('CALCULADORA TECH E-3'!$G$8,A31,0)</f>
        <v>180</v>
      </c>
      <c r="C31" s="77">
        <f>VLOOKUP(A31,'CALCULADORA TECH E-3'!$C$29:$E$112,2,0)</f>
        <v>0</v>
      </c>
      <c r="D31" s="68">
        <f t="shared" si="0"/>
        <v>0</v>
      </c>
      <c r="E31" s="70">
        <f t="shared" si="1"/>
        <v>0</v>
      </c>
      <c r="F31" s="73">
        <f>IF(D30&gt;0.00000000001,D30*'CALCULADORA TECH E-3'!$D$15,0)</f>
        <v>0</v>
      </c>
      <c r="G31" s="71">
        <f t="shared" si="10"/>
        <v>0</v>
      </c>
      <c r="H31" s="71">
        <f>IF($B31&lt;0,0,G31/POWER(1+'CALCULADORA TECH E-3'!$D$14,'Flujos Mensuales'!$B31/$A$3))</f>
        <v>0</v>
      </c>
      <c r="I31" s="71">
        <f>IF(B31&lt;0,0,G31/POWER(1+'CALCULADORA TECH E-3'!$D$21,'Flujos Mensuales'!B31/$A$3))</f>
        <v>0</v>
      </c>
      <c r="J31" s="72">
        <f t="shared" si="8"/>
        <v>0</v>
      </c>
      <c r="K31" s="70">
        <f t="shared" si="3"/>
        <v>0</v>
      </c>
      <c r="L31" s="62"/>
      <c r="M31" s="74">
        <f>VLOOKUP(A31,'CALCULADORA TECH E-3'!$C$29:$E$112,3,0)</f>
        <v>0</v>
      </c>
      <c r="N31" s="68">
        <f t="shared" si="7"/>
        <v>-8.659739592076221E-15</v>
      </c>
      <c r="O31" s="70">
        <f t="shared" si="6"/>
        <v>0</v>
      </c>
      <c r="P31" s="73">
        <f>IF(N30&gt;0.00000000001,N30*'CALCULADORA TECH E-3'!$E$15,0)</f>
        <v>0</v>
      </c>
      <c r="Q31" s="71">
        <f t="shared" si="4"/>
        <v>0</v>
      </c>
      <c r="R31" s="71">
        <f>IF($B31&lt;0,0,Q31/POWER(1+'CALCULADORA TECH E-3'!$E$14,'Flujos Mensuales'!$B31/$A$3))</f>
        <v>0</v>
      </c>
      <c r="S31" s="71">
        <f>IF($B31&lt;0,0,Q31/POWER(1+'CALCULADORA TECH E-3'!$E$21,'Flujos Mensuales'!$B31/$A$3))</f>
        <v>0</v>
      </c>
      <c r="T31" s="72">
        <f t="shared" si="9"/>
        <v>0</v>
      </c>
      <c r="U31" s="89">
        <f t="shared" si="5"/>
        <v>0</v>
      </c>
      <c r="W31" s="1">
        <v>24</v>
      </c>
      <c r="X31" s="1">
        <f t="shared" si="11"/>
        <v>6</v>
      </c>
    </row>
    <row r="32" spans="1:24" ht="12.75">
      <c r="A32" s="13">
        <f>_XLL.FECHA.MES(A31,1)</f>
        <v>39462</v>
      </c>
      <c r="B32" s="76">
        <f>DAYS360('CALCULADORA TECH E-3'!$G$8,A32,0)</f>
        <v>210</v>
      </c>
      <c r="C32" s="77">
        <f>VLOOKUP(A32,'CALCULADORA TECH E-3'!$C$29:$E$112,2,0)</f>
        <v>0</v>
      </c>
      <c r="D32" s="68">
        <f t="shared" si="0"/>
        <v>0</v>
      </c>
      <c r="E32" s="70">
        <f t="shared" si="1"/>
        <v>0</v>
      </c>
      <c r="F32" s="73">
        <f>IF(D31&gt;0.00000000001,D31*'CALCULADORA TECH E-3'!$D$15,0)</f>
        <v>0</v>
      </c>
      <c r="G32" s="71">
        <f t="shared" si="10"/>
        <v>0</v>
      </c>
      <c r="H32" s="71">
        <f>IF($B32&lt;0,0,G32/POWER(1+'CALCULADORA TECH E-3'!$D$14,'Flujos Mensuales'!$B32/$A$3))</f>
        <v>0</v>
      </c>
      <c r="I32" s="71">
        <f>IF(B32&lt;0,0,G32/POWER(1+'CALCULADORA TECH E-3'!$D$21,'Flujos Mensuales'!B32/$A$3))</f>
        <v>0</v>
      </c>
      <c r="J32" s="72">
        <f t="shared" si="8"/>
        <v>0</v>
      </c>
      <c r="K32" s="70">
        <f t="shared" si="3"/>
        <v>0</v>
      </c>
      <c r="L32" s="62"/>
      <c r="M32" s="74">
        <f>VLOOKUP(A32,'CALCULADORA TECH E-3'!$C$29:$E$112,3,0)</f>
        <v>0</v>
      </c>
      <c r="N32" s="68">
        <f t="shared" si="7"/>
        <v>-8.659739592076221E-15</v>
      </c>
      <c r="O32" s="70">
        <f t="shared" si="6"/>
        <v>0</v>
      </c>
      <c r="P32" s="73">
        <f>IF(N31&gt;0.00000000001,N31*'CALCULADORA TECH E-3'!$E$15,0)</f>
        <v>0</v>
      </c>
      <c r="Q32" s="71">
        <f t="shared" si="4"/>
        <v>0</v>
      </c>
      <c r="R32" s="71">
        <f>IF($B32&lt;0,0,Q32/POWER(1+'CALCULADORA TECH E-3'!$E$14,'Flujos Mensuales'!$B32/$A$3))</f>
        <v>0</v>
      </c>
      <c r="S32" s="71">
        <f>IF($B32&lt;0,0,Q32/POWER(1+'CALCULADORA TECH E-3'!$E$21,'Flujos Mensuales'!$B32/$A$3))</f>
        <v>0</v>
      </c>
      <c r="T32" s="72">
        <f t="shared" si="9"/>
        <v>0</v>
      </c>
      <c r="U32" s="89">
        <f t="shared" si="5"/>
        <v>0</v>
      </c>
      <c r="W32" s="12">
        <v>25</v>
      </c>
      <c r="X32" s="1">
        <f t="shared" si="11"/>
        <v>7</v>
      </c>
    </row>
    <row r="33" spans="1:24" ht="12.75">
      <c r="A33" s="13">
        <f>_XLL.FECHA.MES(A32,1)</f>
        <v>39493</v>
      </c>
      <c r="B33" s="76">
        <f>DAYS360('CALCULADORA TECH E-3'!$G$8,A33,0)</f>
        <v>240</v>
      </c>
      <c r="C33" s="77">
        <f>VLOOKUP(A33,'CALCULADORA TECH E-3'!$C$29:$E$112,2,0)</f>
        <v>0</v>
      </c>
      <c r="D33" s="68">
        <f t="shared" si="0"/>
        <v>0</v>
      </c>
      <c r="E33" s="70">
        <f t="shared" si="1"/>
        <v>0</v>
      </c>
      <c r="F33" s="73">
        <f>IF(D32&gt;0.00000000001,D32*'CALCULADORA TECH E-3'!$D$15,0)</f>
        <v>0</v>
      </c>
      <c r="G33" s="71">
        <f t="shared" si="10"/>
        <v>0</v>
      </c>
      <c r="H33" s="71">
        <f>IF($B33&lt;0,0,G33/POWER(1+'CALCULADORA TECH E-3'!$D$14,'Flujos Mensuales'!$B33/$A$3))</f>
        <v>0</v>
      </c>
      <c r="I33" s="71">
        <f>IF(B33&lt;0,0,G33/POWER(1+'CALCULADORA TECH E-3'!$D$21,'Flujos Mensuales'!B33/$A$3))</f>
        <v>0</v>
      </c>
      <c r="J33" s="72">
        <f t="shared" si="8"/>
        <v>0</v>
      </c>
      <c r="K33" s="70">
        <f t="shared" si="3"/>
        <v>0</v>
      </c>
      <c r="L33" s="62"/>
      <c r="M33" s="74">
        <f>VLOOKUP(A33,'CALCULADORA TECH E-3'!$C$29:$E$112,3,0)</f>
        <v>0</v>
      </c>
      <c r="N33" s="68">
        <f t="shared" si="7"/>
        <v>-8.659739592076221E-15</v>
      </c>
      <c r="O33" s="70">
        <f t="shared" si="6"/>
        <v>0</v>
      </c>
      <c r="P33" s="73">
        <f>IF(N32&gt;0.00000000001,N32*'CALCULADORA TECH E-3'!$E$15,0)</f>
        <v>0</v>
      </c>
      <c r="Q33" s="71">
        <f t="shared" si="4"/>
        <v>0</v>
      </c>
      <c r="R33" s="71">
        <f>IF($B33&lt;0,0,Q33/POWER(1+'CALCULADORA TECH E-3'!$E$14,'Flujos Mensuales'!$B33/$A$3))</f>
        <v>0</v>
      </c>
      <c r="S33" s="71">
        <f>IF($B33&lt;0,0,Q33/POWER(1+'CALCULADORA TECH E-3'!$E$21,'Flujos Mensuales'!$B33/$A$3))</f>
        <v>0</v>
      </c>
      <c r="T33" s="72">
        <f t="shared" si="9"/>
        <v>0</v>
      </c>
      <c r="U33" s="89">
        <f t="shared" si="5"/>
        <v>0</v>
      </c>
      <c r="W33" s="1">
        <v>26</v>
      </c>
      <c r="X33" s="1">
        <f t="shared" si="11"/>
        <v>8</v>
      </c>
    </row>
    <row r="34" spans="1:24" ht="12.75">
      <c r="A34" s="13">
        <f>_XLL.FECHA.MES(A33,1)</f>
        <v>39522</v>
      </c>
      <c r="B34" s="76">
        <f>DAYS360('CALCULADORA TECH E-3'!$G$8,A34,0)</f>
        <v>270</v>
      </c>
      <c r="C34" s="77">
        <f>VLOOKUP(A34,'CALCULADORA TECH E-3'!$C$29:$E$112,2,0)</f>
        <v>0</v>
      </c>
      <c r="D34" s="68">
        <f t="shared" si="0"/>
        <v>0</v>
      </c>
      <c r="E34" s="70">
        <f t="shared" si="1"/>
        <v>0</v>
      </c>
      <c r="F34" s="73">
        <f>IF(D33&gt;0.00000000001,D33*'CALCULADORA TECH E-3'!$D$15,0)</f>
        <v>0</v>
      </c>
      <c r="G34" s="71">
        <f t="shared" si="10"/>
        <v>0</v>
      </c>
      <c r="H34" s="71">
        <f>IF($B34&lt;0,0,G34/POWER(1+'CALCULADORA TECH E-3'!$D$14,'Flujos Mensuales'!$B34/$A$3))</f>
        <v>0</v>
      </c>
      <c r="I34" s="71">
        <f>IF(B34&lt;0,0,G34/POWER(1+'CALCULADORA TECH E-3'!$D$21,'Flujos Mensuales'!B34/$A$3))</f>
        <v>0</v>
      </c>
      <c r="J34" s="72">
        <f t="shared" si="8"/>
        <v>0</v>
      </c>
      <c r="K34" s="70">
        <f t="shared" si="3"/>
        <v>0</v>
      </c>
      <c r="L34" s="62"/>
      <c r="M34" s="74">
        <f>VLOOKUP(A34,'CALCULADORA TECH E-3'!$C$29:$E$112,3,0)</f>
        <v>0</v>
      </c>
      <c r="N34" s="68">
        <f t="shared" si="7"/>
        <v>-8.659739592076221E-15</v>
      </c>
      <c r="O34" s="70">
        <f t="shared" si="6"/>
        <v>0</v>
      </c>
      <c r="P34" s="73">
        <f>IF(N33&gt;0.00000000001,N33*'CALCULADORA TECH E-3'!$E$15,0)</f>
        <v>0</v>
      </c>
      <c r="Q34" s="71">
        <f t="shared" si="4"/>
        <v>0</v>
      </c>
      <c r="R34" s="71">
        <f>IF($B34&lt;0,0,Q34/POWER(1+'CALCULADORA TECH E-3'!$E$14,'Flujos Mensuales'!$B34/$A$3))</f>
        <v>0</v>
      </c>
      <c r="S34" s="71">
        <f>IF($B34&lt;0,0,Q34/POWER(1+'CALCULADORA TECH E-3'!$E$21,'Flujos Mensuales'!$B34/$A$3))</f>
        <v>0</v>
      </c>
      <c r="T34" s="72">
        <f t="shared" si="9"/>
        <v>0</v>
      </c>
      <c r="U34" s="89">
        <f t="shared" si="5"/>
        <v>0</v>
      </c>
      <c r="W34" s="1">
        <v>27</v>
      </c>
      <c r="X34" s="1">
        <f t="shared" si="11"/>
        <v>9</v>
      </c>
    </row>
    <row r="35" spans="1:24" ht="12.75">
      <c r="A35" s="13">
        <f>_XLL.FECHA.MES(A34,1)</f>
        <v>39553</v>
      </c>
      <c r="B35" s="76">
        <f>DAYS360('CALCULADORA TECH E-3'!$G$8,A35,0)</f>
        <v>300</v>
      </c>
      <c r="C35" s="77">
        <f>VLOOKUP(A35,'CALCULADORA TECH E-3'!$C$29:$E$112,2,0)</f>
        <v>0</v>
      </c>
      <c r="D35" s="68">
        <f t="shared" si="0"/>
        <v>0</v>
      </c>
      <c r="E35" s="70">
        <f t="shared" si="1"/>
        <v>0</v>
      </c>
      <c r="F35" s="73">
        <f>IF(D34&gt;0.00000000001,D34*'CALCULADORA TECH E-3'!$D$15,0)</f>
        <v>0</v>
      </c>
      <c r="G35" s="71">
        <f t="shared" si="2"/>
        <v>0</v>
      </c>
      <c r="H35" s="71">
        <f>IF($B35&lt;0,0,G35/POWER(1+'CALCULADORA TECH E-3'!$D$14,'Flujos Mensuales'!$B35/$A$3))</f>
        <v>0</v>
      </c>
      <c r="I35" s="71">
        <f>IF(B35&lt;0,0,G35/POWER(1+'CALCULADORA TECH E-3'!$D$21,'Flujos Mensuales'!B35/$A$3))</f>
        <v>0</v>
      </c>
      <c r="J35" s="72">
        <f t="shared" si="8"/>
        <v>0</v>
      </c>
      <c r="K35" s="70">
        <f t="shared" si="3"/>
        <v>0</v>
      </c>
      <c r="L35" s="62"/>
      <c r="M35" s="74">
        <f>VLOOKUP(A35,'CALCULADORA TECH E-3'!$C$29:$E$112,3,0)</f>
        <v>0</v>
      </c>
      <c r="N35" s="68">
        <f t="shared" si="7"/>
        <v>-8.659739592076221E-15</v>
      </c>
      <c r="O35" s="70">
        <f t="shared" si="6"/>
        <v>0</v>
      </c>
      <c r="P35" s="73">
        <f>IF(N34&gt;0.00000000001,N34*'CALCULADORA TECH E-3'!$E$15,0)</f>
        <v>0</v>
      </c>
      <c r="Q35" s="71">
        <f t="shared" si="4"/>
        <v>0</v>
      </c>
      <c r="R35" s="71">
        <f>IF($B35&lt;0,0,Q35/POWER(1+'CALCULADORA TECH E-3'!$E$14,'Flujos Mensuales'!$B35/$A$3))</f>
        <v>0</v>
      </c>
      <c r="S35" s="71">
        <f>IF($B35&lt;0,0,Q35/POWER(1+'CALCULADORA TECH E-3'!$E$21,'Flujos Mensuales'!$B35/$A$3))</f>
        <v>0</v>
      </c>
      <c r="T35" s="72">
        <f t="shared" si="9"/>
        <v>0</v>
      </c>
      <c r="U35" s="89">
        <f t="shared" si="5"/>
        <v>0</v>
      </c>
      <c r="W35" s="12">
        <v>28</v>
      </c>
      <c r="X35" s="1">
        <f t="shared" si="11"/>
        <v>10</v>
      </c>
    </row>
    <row r="36" spans="1:24" ht="12.75">
      <c r="A36" s="13">
        <f>_XLL.FECHA.MES(A35,1)</f>
        <v>39583</v>
      </c>
      <c r="B36" s="76">
        <f>DAYS360('CALCULADORA TECH E-3'!$G$8,A36,0)</f>
        <v>330</v>
      </c>
      <c r="C36" s="77">
        <f>VLOOKUP(A36,'CALCULADORA TECH E-3'!$C$29:$E$112,2,0)</f>
        <v>0</v>
      </c>
      <c r="D36" s="68">
        <f t="shared" si="0"/>
        <v>0</v>
      </c>
      <c r="E36" s="70">
        <f t="shared" si="1"/>
        <v>0</v>
      </c>
      <c r="F36" s="73">
        <f>IF(D35&gt;0.00000000001,D35*'CALCULADORA TECH E-3'!$D$15,0)</f>
        <v>0</v>
      </c>
      <c r="G36" s="71">
        <f t="shared" si="2"/>
        <v>0</v>
      </c>
      <c r="H36" s="71">
        <f>IF($B36&lt;0,0,G36/POWER(1+'CALCULADORA TECH E-3'!$D$14,'Flujos Mensuales'!$B36/$A$3))</f>
        <v>0</v>
      </c>
      <c r="I36" s="71">
        <f>IF(B36&lt;0,0,G36/POWER(1+'CALCULADORA TECH E-3'!$D$21,'Flujos Mensuales'!B36/$A$3))</f>
        <v>0</v>
      </c>
      <c r="J36" s="72">
        <f t="shared" si="8"/>
        <v>0</v>
      </c>
      <c r="K36" s="70">
        <f t="shared" si="3"/>
        <v>0</v>
      </c>
      <c r="L36" s="62"/>
      <c r="M36" s="74">
        <f>VLOOKUP(A36,'CALCULADORA TECH E-3'!$C$29:$E$112,3,0)</f>
        <v>0</v>
      </c>
      <c r="N36" s="68">
        <f t="shared" si="7"/>
        <v>-8.659739592076221E-15</v>
      </c>
      <c r="O36" s="70">
        <f t="shared" si="6"/>
        <v>0</v>
      </c>
      <c r="P36" s="73">
        <f>IF(N35&gt;0.00000000001,N35*'CALCULADORA TECH E-3'!$E$15,0)</f>
        <v>0</v>
      </c>
      <c r="Q36" s="71">
        <f t="shared" si="4"/>
        <v>0</v>
      </c>
      <c r="R36" s="71">
        <f>IF($B36&lt;0,0,Q36/POWER(1+'CALCULADORA TECH E-3'!$E$14,'Flujos Mensuales'!$B36/$A$3))</f>
        <v>0</v>
      </c>
      <c r="S36" s="71">
        <f>IF($B36&lt;0,0,Q36/POWER(1+'CALCULADORA TECH E-3'!$E$21,'Flujos Mensuales'!$B36/$A$3))</f>
        <v>0</v>
      </c>
      <c r="T36" s="72">
        <f t="shared" si="9"/>
        <v>0</v>
      </c>
      <c r="U36" s="89">
        <f t="shared" si="5"/>
        <v>0</v>
      </c>
      <c r="W36" s="1">
        <v>29</v>
      </c>
      <c r="X36" s="1">
        <f t="shared" si="11"/>
        <v>11</v>
      </c>
    </row>
    <row r="37" spans="1:24" ht="12.75">
      <c r="A37" s="13">
        <f>_XLL.FECHA.MES(A36,1)</f>
        <v>39614</v>
      </c>
      <c r="B37" s="76">
        <f>DAYS360('CALCULADORA TECH E-3'!$G$8,A37,0)</f>
        <v>360</v>
      </c>
      <c r="C37" s="77">
        <f>VLOOKUP(A37,'CALCULADORA TECH E-3'!$C$29:$E$112,2,0)</f>
        <v>0</v>
      </c>
      <c r="D37" s="68">
        <f t="shared" si="0"/>
        <v>0</v>
      </c>
      <c r="E37" s="70">
        <f t="shared" si="1"/>
        <v>0</v>
      </c>
      <c r="F37" s="73">
        <f>IF(D36&gt;0.00000000001,D36*'CALCULADORA TECH E-3'!$D$15,0)</f>
        <v>0</v>
      </c>
      <c r="G37" s="71">
        <f t="shared" si="2"/>
        <v>0</v>
      </c>
      <c r="H37" s="71">
        <f>IF($B37&lt;0,0,G37/POWER(1+'CALCULADORA TECH E-3'!$D$14,'Flujos Mensuales'!$B37/$A$3))</f>
        <v>0</v>
      </c>
      <c r="I37" s="71">
        <f>IF(B37&lt;0,0,G37/POWER(1+'CALCULADORA TECH E-3'!$D$21,'Flujos Mensuales'!B37/$A$3))</f>
        <v>0</v>
      </c>
      <c r="J37" s="72">
        <f t="shared" si="8"/>
        <v>0</v>
      </c>
      <c r="K37" s="70">
        <f t="shared" si="3"/>
        <v>0</v>
      </c>
      <c r="L37" s="62"/>
      <c r="M37" s="74">
        <f>VLOOKUP(A37,'CALCULADORA TECH E-3'!$C$29:$E$112,3,0)</f>
        <v>0</v>
      </c>
      <c r="N37" s="68">
        <f t="shared" si="7"/>
        <v>-8.659739592076221E-15</v>
      </c>
      <c r="O37" s="70">
        <f t="shared" si="6"/>
        <v>0</v>
      </c>
      <c r="P37" s="73">
        <f>IF(N36&gt;0.00000000001,N36*'CALCULADORA TECH E-3'!$E$15,0)</f>
        <v>0</v>
      </c>
      <c r="Q37" s="71">
        <f t="shared" si="4"/>
        <v>0</v>
      </c>
      <c r="R37" s="71">
        <f>IF($B37&lt;0,0,Q37/POWER(1+'CALCULADORA TECH E-3'!$E$14,'Flujos Mensuales'!$B37/$A$3))</f>
        <v>0</v>
      </c>
      <c r="S37" s="71">
        <f>IF($B37&lt;0,0,Q37/POWER(1+'CALCULADORA TECH E-3'!$E$21,'Flujos Mensuales'!$B37/$A$3))</f>
        <v>0</v>
      </c>
      <c r="T37" s="72">
        <f t="shared" si="9"/>
        <v>0</v>
      </c>
      <c r="U37" s="89">
        <f t="shared" si="5"/>
        <v>0</v>
      </c>
      <c r="W37" s="1">
        <v>30</v>
      </c>
      <c r="X37" s="1">
        <f t="shared" si="11"/>
        <v>12</v>
      </c>
    </row>
    <row r="38" spans="1:24" ht="12.75">
      <c r="A38" s="13">
        <f>_XLL.FECHA.MES(A37,1)</f>
        <v>39644</v>
      </c>
      <c r="B38" s="76">
        <f>DAYS360('CALCULADORA TECH E-3'!$G$8,A38,0)</f>
        <v>390</v>
      </c>
      <c r="C38" s="77">
        <f>VLOOKUP(A38,'CALCULADORA TECH E-3'!$C$29:$E$112,2,0)</f>
        <v>0</v>
      </c>
      <c r="D38" s="68">
        <f aca="true" t="shared" si="12" ref="D38:D74">D37-E38</f>
        <v>0</v>
      </c>
      <c r="E38" s="70">
        <f t="shared" si="1"/>
        <v>0</v>
      </c>
      <c r="F38" s="73">
        <f>IF(D37&gt;0.00000000001,D37*'CALCULADORA TECH E-3'!$D$15,0)</f>
        <v>0</v>
      </c>
      <c r="G38" s="71">
        <f t="shared" si="2"/>
        <v>0</v>
      </c>
      <c r="H38" s="71">
        <f>IF($B38&lt;0,0,G38/POWER(1+'CALCULADORA TECH E-3'!$D$14,'Flujos Mensuales'!$B38/$A$3))</f>
        <v>0</v>
      </c>
      <c r="I38" s="71">
        <f>IF(B38&lt;0,0,G38/POWER(1+'CALCULADORA TECH E-3'!$D$21,'Flujos Mensuales'!B38/$A$3))</f>
        <v>0</v>
      </c>
      <c r="J38" s="72">
        <f t="shared" si="8"/>
        <v>0</v>
      </c>
      <c r="K38" s="70">
        <f t="shared" si="3"/>
        <v>0</v>
      </c>
      <c r="L38" s="62"/>
      <c r="M38" s="74">
        <f>VLOOKUP(A38,'CALCULADORA TECH E-3'!$C$29:$E$112,3,0)</f>
        <v>0</v>
      </c>
      <c r="N38" s="68">
        <f t="shared" si="7"/>
        <v>-8.659739592076221E-15</v>
      </c>
      <c r="O38" s="70">
        <f t="shared" si="6"/>
        <v>0</v>
      </c>
      <c r="P38" s="73">
        <f>IF(N37&gt;0.00000000001,N37*'CALCULADORA TECH E-3'!$E$15,0)</f>
        <v>0</v>
      </c>
      <c r="Q38" s="71">
        <f t="shared" si="4"/>
        <v>0</v>
      </c>
      <c r="R38" s="71">
        <f>IF($B38&lt;0,0,Q38/POWER(1+'CALCULADORA TECH E-3'!$E$14,'Flujos Mensuales'!$B38/$A$3))</f>
        <v>0</v>
      </c>
      <c r="S38" s="71">
        <f>IF($B38&lt;0,0,Q38/POWER(1+'CALCULADORA TECH E-3'!$E$21,'Flujos Mensuales'!$B38/$A$3))</f>
        <v>0</v>
      </c>
      <c r="T38" s="72">
        <f t="shared" si="9"/>
        <v>0</v>
      </c>
      <c r="U38" s="89">
        <f t="shared" si="5"/>
        <v>0</v>
      </c>
      <c r="W38" s="12">
        <v>31</v>
      </c>
      <c r="X38" s="1">
        <f t="shared" si="11"/>
        <v>13</v>
      </c>
    </row>
    <row r="39" spans="1:24" ht="12.75">
      <c r="A39" s="13">
        <f>_XLL.FECHA.MES(A38,1)</f>
        <v>39675</v>
      </c>
      <c r="B39" s="76">
        <f>DAYS360('CALCULADORA TECH E-3'!$G$8,A39,0)</f>
        <v>420</v>
      </c>
      <c r="C39" s="77">
        <f>VLOOKUP(A39,'CALCULADORA TECH E-3'!$C$29:$E$112,2,0)</f>
        <v>0</v>
      </c>
      <c r="D39" s="68">
        <f t="shared" si="12"/>
        <v>0</v>
      </c>
      <c r="E39" s="70">
        <f t="shared" si="1"/>
        <v>0</v>
      </c>
      <c r="F39" s="73">
        <f>IF(D38&gt;0.00000000001,D38*'CALCULADORA TECH E-3'!$D$15,0)</f>
        <v>0</v>
      </c>
      <c r="G39" s="71">
        <f t="shared" si="2"/>
        <v>0</v>
      </c>
      <c r="H39" s="71">
        <f>IF($B39&lt;0,0,G39/POWER(1+'CALCULADORA TECH E-3'!$D$14,'Flujos Mensuales'!$B39/$A$3))</f>
        <v>0</v>
      </c>
      <c r="I39" s="71">
        <f>IF(B39&lt;0,0,G39/POWER(1+'CALCULADORA TECH E-3'!$D$21,'Flujos Mensuales'!B39/$A$3))</f>
        <v>0</v>
      </c>
      <c r="J39" s="72">
        <f t="shared" si="8"/>
        <v>0</v>
      </c>
      <c r="K39" s="70">
        <f t="shared" si="3"/>
        <v>0</v>
      </c>
      <c r="L39" s="62"/>
      <c r="M39" s="74">
        <f>VLOOKUP(A39,'CALCULADORA TECH E-3'!$C$29:$E$112,3,0)</f>
        <v>0</v>
      </c>
      <c r="N39" s="68">
        <f t="shared" si="7"/>
        <v>-8.659739592076221E-15</v>
      </c>
      <c r="O39" s="70">
        <f t="shared" si="6"/>
        <v>0</v>
      </c>
      <c r="P39" s="73">
        <f>IF(N38&gt;0.00000000001,N38*'CALCULADORA TECH E-3'!$E$15,0)</f>
        <v>0</v>
      </c>
      <c r="Q39" s="71">
        <f t="shared" si="4"/>
        <v>0</v>
      </c>
      <c r="R39" s="71">
        <f>IF($B39&lt;0,0,Q39/POWER(1+'CALCULADORA TECH E-3'!$E$14,'Flujos Mensuales'!$B39/$A$3))</f>
        <v>0</v>
      </c>
      <c r="S39" s="71">
        <f>IF($B39&lt;0,0,Q39/POWER(1+'CALCULADORA TECH E-3'!$E$21,'Flujos Mensuales'!$B39/$A$3))</f>
        <v>0</v>
      </c>
      <c r="T39" s="72">
        <f t="shared" si="9"/>
        <v>0</v>
      </c>
      <c r="U39" s="89">
        <f t="shared" si="5"/>
        <v>0</v>
      </c>
      <c r="W39" s="1">
        <v>32</v>
      </c>
      <c r="X39" s="1">
        <f t="shared" si="11"/>
        <v>14</v>
      </c>
    </row>
    <row r="40" spans="1:24" ht="12.75">
      <c r="A40" s="13">
        <f>_XLL.FECHA.MES(A39,1)</f>
        <v>39706</v>
      </c>
      <c r="B40" s="76">
        <f>DAYS360('CALCULADORA TECH E-3'!$G$8,A40,0)</f>
        <v>450</v>
      </c>
      <c r="C40" s="77">
        <f>VLOOKUP(A40,'CALCULADORA TECH E-3'!$C$29:$E$112,2,0)</f>
        <v>0</v>
      </c>
      <c r="D40" s="68">
        <f t="shared" si="12"/>
        <v>0</v>
      </c>
      <c r="E40" s="70">
        <f t="shared" si="1"/>
        <v>0</v>
      </c>
      <c r="F40" s="73">
        <f>IF(D39&gt;0.00000000001,D39*'CALCULADORA TECH E-3'!$D$15,0)</f>
        <v>0</v>
      </c>
      <c r="G40" s="71">
        <f t="shared" si="2"/>
        <v>0</v>
      </c>
      <c r="H40" s="71">
        <f>IF($B40&lt;0,0,G40/POWER(1+'CALCULADORA TECH E-3'!$D$14,'Flujos Mensuales'!$B40/$A$3))</f>
        <v>0</v>
      </c>
      <c r="I40" s="71">
        <f>IF(B40&lt;0,0,G40/POWER(1+'CALCULADORA TECH E-3'!$D$21,'Flujos Mensuales'!B40/$A$3))</f>
        <v>0</v>
      </c>
      <c r="J40" s="72">
        <f t="shared" si="8"/>
        <v>0</v>
      </c>
      <c r="K40" s="70">
        <f t="shared" si="3"/>
        <v>0</v>
      </c>
      <c r="L40" s="62"/>
      <c r="M40" s="74">
        <f>VLOOKUP(A40,'CALCULADORA TECH E-3'!$C$29:$E$112,3,0)</f>
        <v>0</v>
      </c>
      <c r="N40" s="68">
        <f t="shared" si="7"/>
        <v>-8.659739592076221E-15</v>
      </c>
      <c r="O40" s="70">
        <f t="shared" si="6"/>
        <v>0</v>
      </c>
      <c r="P40" s="73">
        <f>IF(N39&gt;0.00000000001,N39*'CALCULADORA TECH E-3'!$E$15,0)</f>
        <v>0</v>
      </c>
      <c r="Q40" s="71">
        <f t="shared" si="4"/>
        <v>0</v>
      </c>
      <c r="R40" s="71">
        <f>IF($B40&lt;0,0,Q40/POWER(1+'CALCULADORA TECH E-3'!$E$14,'Flujos Mensuales'!$B40/$A$3))</f>
        <v>0</v>
      </c>
      <c r="S40" s="71">
        <f>IF($B40&lt;0,0,Q40/POWER(1+'CALCULADORA TECH E-3'!$E$21,'Flujos Mensuales'!$B40/$A$3))</f>
        <v>0</v>
      </c>
      <c r="T40" s="72">
        <f t="shared" si="9"/>
        <v>0</v>
      </c>
      <c r="U40" s="89">
        <f t="shared" si="5"/>
        <v>0</v>
      </c>
      <c r="W40" s="1">
        <v>33</v>
      </c>
      <c r="X40" s="1">
        <f t="shared" si="11"/>
        <v>15</v>
      </c>
    </row>
    <row r="41" spans="1:24" ht="12.75">
      <c r="A41" s="13">
        <f>_XLL.FECHA.MES(A40,1)</f>
        <v>39736</v>
      </c>
      <c r="B41" s="76">
        <f>DAYS360('CALCULADORA TECH E-3'!$G$8,A41,0)</f>
        <v>480</v>
      </c>
      <c r="C41" s="77">
        <f>VLOOKUP(A41,'CALCULADORA TECH E-3'!$C$29:$E$112,2,0)</f>
        <v>0</v>
      </c>
      <c r="D41" s="68">
        <f t="shared" si="12"/>
        <v>0</v>
      </c>
      <c r="E41" s="70">
        <f t="shared" si="1"/>
        <v>0</v>
      </c>
      <c r="F41" s="73">
        <f>IF(D40&gt;0.00000000001,D40*'CALCULADORA TECH E-3'!$D$15,0)</f>
        <v>0</v>
      </c>
      <c r="G41" s="71">
        <f t="shared" si="2"/>
        <v>0</v>
      </c>
      <c r="H41" s="71">
        <f>IF($B41&lt;0,0,G41/POWER(1+'CALCULADORA TECH E-3'!$D$14,'Flujos Mensuales'!$B41/$A$3))</f>
        <v>0</v>
      </c>
      <c r="I41" s="71">
        <f>IF(B41&lt;0,0,G41/POWER(1+'CALCULADORA TECH E-3'!$D$21,'Flujos Mensuales'!B41/$A$3))</f>
        <v>0</v>
      </c>
      <c r="J41" s="72">
        <f t="shared" si="8"/>
        <v>0</v>
      </c>
      <c r="K41" s="70">
        <f t="shared" si="3"/>
        <v>0</v>
      </c>
      <c r="L41" s="62"/>
      <c r="M41" s="74">
        <f>VLOOKUP(A41,'CALCULADORA TECH E-3'!$C$29:$E$112,3,0)</f>
        <v>0</v>
      </c>
      <c r="N41" s="68">
        <f t="shared" si="7"/>
        <v>-8.659739592076221E-15</v>
      </c>
      <c r="O41" s="70">
        <f t="shared" si="6"/>
        <v>0</v>
      </c>
      <c r="P41" s="73">
        <f>IF(N40&gt;0.00000000001,N40*'CALCULADORA TECH E-3'!$E$15,0)</f>
        <v>0</v>
      </c>
      <c r="Q41" s="71">
        <f t="shared" si="4"/>
        <v>0</v>
      </c>
      <c r="R41" s="71">
        <f>IF($B41&lt;0,0,Q41/POWER(1+'CALCULADORA TECH E-3'!$E$14,'Flujos Mensuales'!$B41/$A$3))</f>
        <v>0</v>
      </c>
      <c r="S41" s="71">
        <f>IF($B41&lt;0,0,Q41/POWER(1+'CALCULADORA TECH E-3'!$E$21,'Flujos Mensuales'!$B41/$A$3))</f>
        <v>0</v>
      </c>
      <c r="T41" s="72">
        <f t="shared" si="9"/>
        <v>0</v>
      </c>
      <c r="U41" s="89">
        <f t="shared" si="5"/>
        <v>0</v>
      </c>
      <c r="W41" s="12">
        <v>34</v>
      </c>
      <c r="X41" s="1">
        <f t="shared" si="11"/>
        <v>16</v>
      </c>
    </row>
    <row r="42" spans="1:24" ht="12.75">
      <c r="A42" s="13">
        <f>_XLL.FECHA.MES(A41,1)</f>
        <v>39767</v>
      </c>
      <c r="B42" s="76">
        <f>DAYS360('CALCULADORA TECH E-3'!$G$8,A42,0)</f>
        <v>510</v>
      </c>
      <c r="C42" s="77">
        <f>VLOOKUP(A42,'CALCULADORA TECH E-3'!$C$29:$E$112,2,0)</f>
        <v>0</v>
      </c>
      <c r="D42" s="68">
        <f t="shared" si="12"/>
        <v>0</v>
      </c>
      <c r="E42" s="70">
        <f aca="true" t="shared" si="13" ref="E42:E73">C42*$A$1</f>
        <v>0</v>
      </c>
      <c r="F42" s="73">
        <f>IF(D41&gt;0.00000000001,D41*'CALCULADORA TECH E-3'!$D$15,0)</f>
        <v>0</v>
      </c>
      <c r="G42" s="71">
        <f t="shared" si="2"/>
        <v>0</v>
      </c>
      <c r="H42" s="71">
        <f>IF($B42&lt;0,0,G42/POWER(1+'CALCULADORA TECH E-3'!$D$14,'Flujos Mensuales'!$B42/$A$3))</f>
        <v>0</v>
      </c>
      <c r="I42" s="71">
        <f>IF(B42&lt;0,0,G42/POWER(1+'CALCULADORA TECH E-3'!$D$21,'Flujos Mensuales'!B42/$A$3))</f>
        <v>0</v>
      </c>
      <c r="J42" s="72">
        <f t="shared" si="8"/>
        <v>0</v>
      </c>
      <c r="K42" s="70">
        <f t="shared" si="3"/>
        <v>0</v>
      </c>
      <c r="L42" s="62"/>
      <c r="M42" s="74">
        <f>VLOOKUP(A42,'CALCULADORA TECH E-3'!$C$29:$E$112,3,0)</f>
        <v>0</v>
      </c>
      <c r="N42" s="68">
        <f t="shared" si="7"/>
        <v>-8.659739592076221E-15</v>
      </c>
      <c r="O42" s="70">
        <f t="shared" si="6"/>
        <v>0</v>
      </c>
      <c r="P42" s="73">
        <f>IF(N41&gt;0.00000000001,N41*'CALCULADORA TECH E-3'!$E$15,0)</f>
        <v>0</v>
      </c>
      <c r="Q42" s="71">
        <f t="shared" si="4"/>
        <v>0</v>
      </c>
      <c r="R42" s="71">
        <f>IF($B42&lt;0,0,Q42/POWER(1+'CALCULADORA TECH E-3'!$E$14,'Flujos Mensuales'!$B42/$A$3))</f>
        <v>0</v>
      </c>
      <c r="S42" s="71">
        <f>IF($B42&lt;0,0,Q42/POWER(1+'CALCULADORA TECH E-3'!$E$21,'Flujos Mensuales'!$B42/$A$3))</f>
        <v>0</v>
      </c>
      <c r="T42" s="72">
        <f t="shared" si="9"/>
        <v>0</v>
      </c>
      <c r="U42" s="89">
        <f t="shared" si="5"/>
        <v>0</v>
      </c>
      <c r="W42" s="1">
        <v>35</v>
      </c>
      <c r="X42" s="1">
        <f t="shared" si="11"/>
        <v>17</v>
      </c>
    </row>
    <row r="43" spans="1:24" ht="12.75">
      <c r="A43" s="13">
        <f>_XLL.FECHA.MES(A42,1)</f>
        <v>39797</v>
      </c>
      <c r="B43" s="76">
        <f>DAYS360('CALCULADORA TECH E-3'!$G$8,A43,0)</f>
        <v>540</v>
      </c>
      <c r="C43" s="77">
        <f>VLOOKUP(A43,'CALCULADORA TECH E-3'!$C$29:$E$112,2,0)</f>
        <v>0</v>
      </c>
      <c r="D43" s="68">
        <f t="shared" si="12"/>
        <v>0</v>
      </c>
      <c r="E43" s="70">
        <f t="shared" si="13"/>
        <v>0</v>
      </c>
      <c r="F43" s="73">
        <f>IF(D42&gt;0.00000000001,D42*'CALCULADORA TECH E-3'!$D$15,0)</f>
        <v>0</v>
      </c>
      <c r="G43" s="71">
        <f t="shared" si="2"/>
        <v>0</v>
      </c>
      <c r="H43" s="71">
        <f>IF($B43&lt;0,0,G43/POWER(1+'CALCULADORA TECH E-3'!$D$14,'Flujos Mensuales'!$B43/$A$3))</f>
        <v>0</v>
      </c>
      <c r="I43" s="71">
        <f>IF(B43&lt;0,0,G43/POWER(1+'CALCULADORA TECH E-3'!$D$21,'Flujos Mensuales'!B43/$A$3))</f>
        <v>0</v>
      </c>
      <c r="J43" s="72">
        <f t="shared" si="8"/>
        <v>0</v>
      </c>
      <c r="K43" s="70">
        <f t="shared" si="3"/>
        <v>0</v>
      </c>
      <c r="L43" s="62"/>
      <c r="M43" s="74">
        <f>VLOOKUP(A43,'CALCULADORA TECH E-3'!$C$29:$E$112,3,0)</f>
        <v>0</v>
      </c>
      <c r="N43" s="68">
        <f t="shared" si="7"/>
        <v>-8.659739592076221E-15</v>
      </c>
      <c r="O43" s="70">
        <f t="shared" si="6"/>
        <v>0</v>
      </c>
      <c r="P43" s="73">
        <f>IF(N42&gt;0.00000000001,N42*'CALCULADORA TECH E-3'!$E$15,0)</f>
        <v>0</v>
      </c>
      <c r="Q43" s="71">
        <f t="shared" si="4"/>
        <v>0</v>
      </c>
      <c r="R43" s="71">
        <f>IF($B43&lt;0,0,Q43/POWER(1+'CALCULADORA TECH E-3'!$E$14,'Flujos Mensuales'!$B43/$A$3))</f>
        <v>0</v>
      </c>
      <c r="S43" s="71">
        <f>IF($B43&lt;0,0,Q43/POWER(1+'CALCULADORA TECH E-3'!$E$21,'Flujos Mensuales'!$B43/$A$3))</f>
        <v>0</v>
      </c>
      <c r="T43" s="72">
        <f t="shared" si="9"/>
        <v>0</v>
      </c>
      <c r="U43" s="89">
        <f t="shared" si="5"/>
        <v>0</v>
      </c>
      <c r="W43" s="1">
        <v>36</v>
      </c>
      <c r="X43" s="1">
        <f t="shared" si="11"/>
        <v>18</v>
      </c>
    </row>
    <row r="44" spans="1:24" ht="12.75">
      <c r="A44" s="13">
        <f>_XLL.FECHA.MES(A43,1)</f>
        <v>39828</v>
      </c>
      <c r="B44" s="76">
        <f>DAYS360('CALCULADORA TECH E-3'!$G$8,A44,0)</f>
        <v>570</v>
      </c>
      <c r="C44" s="77">
        <f>VLOOKUP(A44,'CALCULADORA TECH E-3'!$C$29:$E$112,2,0)</f>
        <v>0</v>
      </c>
      <c r="D44" s="68">
        <f t="shared" si="12"/>
        <v>0</v>
      </c>
      <c r="E44" s="70">
        <f t="shared" si="13"/>
        <v>0</v>
      </c>
      <c r="F44" s="73">
        <f>IF(D43&gt;0.00000000001,D43*'CALCULADORA TECH E-3'!$D$15,0)</f>
        <v>0</v>
      </c>
      <c r="G44" s="71">
        <f t="shared" si="2"/>
        <v>0</v>
      </c>
      <c r="H44" s="71">
        <f>IF($B44&lt;0,0,G44/POWER(1+'CALCULADORA TECH E-3'!$D$14,'Flujos Mensuales'!$B44/$A$3))</f>
        <v>0</v>
      </c>
      <c r="I44" s="71">
        <f>IF(B44&lt;0,0,G44/POWER(1+'CALCULADORA TECH E-3'!$D$21,'Flujos Mensuales'!B44/$A$3))</f>
        <v>0</v>
      </c>
      <c r="J44" s="72">
        <f t="shared" si="8"/>
        <v>0</v>
      </c>
      <c r="K44" s="70">
        <f t="shared" si="3"/>
        <v>0</v>
      </c>
      <c r="L44" s="62"/>
      <c r="M44" s="74">
        <f>VLOOKUP(A44,'CALCULADORA TECH E-3'!$C$29:$E$112,3,0)</f>
        <v>0</v>
      </c>
      <c r="N44" s="68">
        <f t="shared" si="7"/>
        <v>-8.659739592076221E-15</v>
      </c>
      <c r="O44" s="70">
        <f t="shared" si="6"/>
        <v>0</v>
      </c>
      <c r="P44" s="73">
        <f>IF(N43&gt;0.00000000001,N43*'CALCULADORA TECH E-3'!$E$15,0)</f>
        <v>0</v>
      </c>
      <c r="Q44" s="71">
        <f t="shared" si="4"/>
        <v>0</v>
      </c>
      <c r="R44" s="71">
        <f>IF($B44&lt;0,0,Q44/POWER(1+'CALCULADORA TECH E-3'!$E$14,'Flujos Mensuales'!$B44/$A$3))</f>
        <v>0</v>
      </c>
      <c r="S44" s="71">
        <f>IF($B44&lt;0,0,Q44/POWER(1+'CALCULADORA TECH E-3'!$E$21,'Flujos Mensuales'!$B44/$A$3))</f>
        <v>0</v>
      </c>
      <c r="T44" s="72">
        <f t="shared" si="9"/>
        <v>0</v>
      </c>
      <c r="U44" s="89">
        <f t="shared" si="5"/>
        <v>0</v>
      </c>
      <c r="W44" s="12">
        <v>37</v>
      </c>
      <c r="X44" s="1">
        <f t="shared" si="11"/>
        <v>19</v>
      </c>
    </row>
    <row r="45" spans="1:24" ht="12.75">
      <c r="A45" s="13">
        <f>_XLL.FECHA.MES(A44,1)</f>
        <v>39859</v>
      </c>
      <c r="B45" s="76">
        <f>DAYS360('CALCULADORA TECH E-3'!$G$8,A45,0)</f>
        <v>600</v>
      </c>
      <c r="C45" s="77">
        <f>VLOOKUP(A45,'CALCULADORA TECH E-3'!$C$29:$E$112,2,0)</f>
        <v>0</v>
      </c>
      <c r="D45" s="68">
        <f t="shared" si="12"/>
        <v>0</v>
      </c>
      <c r="E45" s="70">
        <f t="shared" si="13"/>
        <v>0</v>
      </c>
      <c r="F45" s="73">
        <f>IF(D44&gt;0.00000000001,D44*'CALCULADORA TECH E-3'!$D$15,0)</f>
        <v>0</v>
      </c>
      <c r="G45" s="71">
        <f t="shared" si="2"/>
        <v>0</v>
      </c>
      <c r="H45" s="71">
        <f>IF($B45&lt;0,0,G45/POWER(1+'CALCULADORA TECH E-3'!$D$14,'Flujos Mensuales'!$B45/$A$3))</f>
        <v>0</v>
      </c>
      <c r="I45" s="71">
        <f>IF(B45&lt;0,0,G45/POWER(1+'CALCULADORA TECH E-3'!$D$21,'Flujos Mensuales'!B45/$A$3))</f>
        <v>0</v>
      </c>
      <c r="J45" s="72">
        <f t="shared" si="8"/>
        <v>0</v>
      </c>
      <c r="K45" s="70">
        <f t="shared" si="3"/>
        <v>0</v>
      </c>
      <c r="L45" s="62"/>
      <c r="M45" s="74">
        <f>VLOOKUP(A45,'CALCULADORA TECH E-3'!$C$29:$E$112,3,0)</f>
        <v>0</v>
      </c>
      <c r="N45" s="68">
        <f t="shared" si="7"/>
        <v>-8.659739592076221E-15</v>
      </c>
      <c r="O45" s="70">
        <f t="shared" si="6"/>
        <v>0</v>
      </c>
      <c r="P45" s="73">
        <f>IF(N44&gt;0.00000000001,N44*'CALCULADORA TECH E-3'!$E$15,0)</f>
        <v>0</v>
      </c>
      <c r="Q45" s="71">
        <f t="shared" si="4"/>
        <v>0</v>
      </c>
      <c r="R45" s="71">
        <f>IF($B45&lt;0,0,Q45/POWER(1+'CALCULADORA TECH E-3'!$E$14,'Flujos Mensuales'!$B45/$A$3))</f>
        <v>0</v>
      </c>
      <c r="S45" s="71">
        <f>IF($B45&lt;0,0,Q45/POWER(1+'CALCULADORA TECH E-3'!$E$21,'Flujos Mensuales'!$B45/$A$3))</f>
        <v>0</v>
      </c>
      <c r="T45" s="72">
        <f t="shared" si="9"/>
        <v>0</v>
      </c>
      <c r="U45" s="89">
        <f t="shared" si="5"/>
        <v>0</v>
      </c>
      <c r="W45" s="1">
        <v>38</v>
      </c>
      <c r="X45" s="1">
        <f t="shared" si="11"/>
        <v>20</v>
      </c>
    </row>
    <row r="46" spans="1:24" ht="12.75">
      <c r="A46" s="13">
        <f>_XLL.FECHA.MES(A45,1)</f>
        <v>39887</v>
      </c>
      <c r="B46" s="76">
        <f>DAYS360('CALCULADORA TECH E-3'!$G$8,A46,0)</f>
        <v>630</v>
      </c>
      <c r="C46" s="77">
        <f>VLOOKUP(A46,'CALCULADORA TECH E-3'!$C$29:$E$112,2,0)</f>
        <v>0</v>
      </c>
      <c r="D46" s="68">
        <f t="shared" si="12"/>
        <v>0</v>
      </c>
      <c r="E46" s="70">
        <f t="shared" si="13"/>
        <v>0</v>
      </c>
      <c r="F46" s="73">
        <f>IF(D45&gt;0.00000000001,D45*'CALCULADORA TECH E-3'!$D$15,0)</f>
        <v>0</v>
      </c>
      <c r="G46" s="71">
        <f t="shared" si="2"/>
        <v>0</v>
      </c>
      <c r="H46" s="71">
        <f>IF($B46&lt;0,0,G46/POWER(1+'CALCULADORA TECH E-3'!$D$14,'Flujos Mensuales'!$B46/$A$3))</f>
        <v>0</v>
      </c>
      <c r="I46" s="71">
        <f>IF(B46&lt;0,0,G46/POWER(1+'CALCULADORA TECH E-3'!$D$21,'Flujos Mensuales'!B46/$A$3))</f>
        <v>0</v>
      </c>
      <c r="J46" s="72">
        <f t="shared" si="8"/>
        <v>0</v>
      </c>
      <c r="K46" s="70">
        <f t="shared" si="3"/>
        <v>0</v>
      </c>
      <c r="L46" s="62"/>
      <c r="M46" s="74">
        <f>VLOOKUP(A46,'CALCULADORA TECH E-3'!$C$29:$E$112,3,0)</f>
        <v>0</v>
      </c>
      <c r="N46" s="68">
        <f t="shared" si="7"/>
        <v>-8.659739592076221E-15</v>
      </c>
      <c r="O46" s="70">
        <f t="shared" si="6"/>
        <v>0</v>
      </c>
      <c r="P46" s="73">
        <f>IF(N45&gt;0.00000000001,N45*'CALCULADORA TECH E-3'!$E$15,0)</f>
        <v>0</v>
      </c>
      <c r="Q46" s="71">
        <f t="shared" si="4"/>
        <v>0</v>
      </c>
      <c r="R46" s="71">
        <f>IF($B46&lt;0,0,Q46/POWER(1+'CALCULADORA TECH E-3'!$E$14,'Flujos Mensuales'!$B46/$A$3))</f>
        <v>0</v>
      </c>
      <c r="S46" s="71">
        <f>IF($B46&lt;0,0,Q46/POWER(1+'CALCULADORA TECH E-3'!$E$21,'Flujos Mensuales'!$B46/$A$3))</f>
        <v>0</v>
      </c>
      <c r="T46" s="72">
        <f t="shared" si="9"/>
        <v>0</v>
      </c>
      <c r="U46" s="89">
        <f t="shared" si="5"/>
        <v>0</v>
      </c>
      <c r="W46" s="1">
        <v>39</v>
      </c>
      <c r="X46" s="1">
        <f t="shared" si="11"/>
        <v>21</v>
      </c>
    </row>
    <row r="47" spans="1:24" ht="12.75">
      <c r="A47" s="13">
        <f>_XLL.FECHA.MES(A46,1)</f>
        <v>39918</v>
      </c>
      <c r="B47" s="76">
        <f>DAYS360('CALCULADORA TECH E-3'!$G$8,A47,0)</f>
        <v>660</v>
      </c>
      <c r="C47" s="77">
        <f>VLOOKUP(A47,'CALCULADORA TECH E-3'!$C$29:$E$112,2,0)</f>
        <v>0</v>
      </c>
      <c r="D47" s="68">
        <f t="shared" si="12"/>
        <v>0</v>
      </c>
      <c r="E47" s="70">
        <f t="shared" si="13"/>
        <v>0</v>
      </c>
      <c r="F47" s="73">
        <f>IF(D46&gt;0.00000000001,D46*'CALCULADORA TECH E-3'!$D$15,0)</f>
        <v>0</v>
      </c>
      <c r="G47" s="71">
        <f t="shared" si="2"/>
        <v>0</v>
      </c>
      <c r="H47" s="71">
        <f>IF($B47&lt;0,0,G47/POWER(1+'CALCULADORA TECH E-3'!$D$14,'Flujos Mensuales'!$B47/$A$3))</f>
        <v>0</v>
      </c>
      <c r="I47" s="71">
        <f>IF(B47&lt;0,0,G47/POWER(1+'CALCULADORA TECH E-3'!$D$21,'Flujos Mensuales'!B47/$A$3))</f>
        <v>0</v>
      </c>
      <c r="J47" s="72">
        <f t="shared" si="8"/>
        <v>0</v>
      </c>
      <c r="K47" s="70">
        <f t="shared" si="3"/>
        <v>0</v>
      </c>
      <c r="L47" s="62"/>
      <c r="M47" s="74">
        <f>VLOOKUP(A47,'CALCULADORA TECH E-3'!$C$29:$E$112,3,0)</f>
        <v>0</v>
      </c>
      <c r="N47" s="68">
        <f t="shared" si="7"/>
        <v>-8.659739592076221E-15</v>
      </c>
      <c r="O47" s="70">
        <f t="shared" si="6"/>
        <v>0</v>
      </c>
      <c r="P47" s="73">
        <f>IF(N46&gt;0.00000000001,N46*'CALCULADORA TECH E-3'!$E$15,0)</f>
        <v>0</v>
      </c>
      <c r="Q47" s="71">
        <f t="shared" si="4"/>
        <v>0</v>
      </c>
      <c r="R47" s="71">
        <f>IF($B47&lt;0,0,Q47/POWER(1+'CALCULADORA TECH E-3'!$E$14,'Flujos Mensuales'!$B47/$A$3))</f>
        <v>0</v>
      </c>
      <c r="S47" s="71">
        <f>IF($B47&lt;0,0,Q47/POWER(1+'CALCULADORA TECH E-3'!$E$21,'Flujos Mensuales'!$B47/$A$3))</f>
        <v>0</v>
      </c>
      <c r="T47" s="72">
        <f t="shared" si="9"/>
        <v>0</v>
      </c>
      <c r="U47" s="89">
        <f t="shared" si="5"/>
        <v>0</v>
      </c>
      <c r="W47" s="12">
        <v>40</v>
      </c>
      <c r="X47" s="1">
        <f t="shared" si="11"/>
        <v>22</v>
      </c>
    </row>
    <row r="48" spans="1:24" ht="12.75">
      <c r="A48" s="13">
        <f>_XLL.FECHA.MES(A47,1)</f>
        <v>39948</v>
      </c>
      <c r="B48" s="76">
        <f>DAYS360('CALCULADORA TECH E-3'!$G$8,A48,0)</f>
        <v>690</v>
      </c>
      <c r="C48" s="77">
        <f>VLOOKUP(A48,'CALCULADORA TECH E-3'!$C$29:$E$112,2,0)</f>
        <v>0</v>
      </c>
      <c r="D48" s="68">
        <f t="shared" si="12"/>
        <v>0</v>
      </c>
      <c r="E48" s="70">
        <f t="shared" si="13"/>
        <v>0</v>
      </c>
      <c r="F48" s="73">
        <f>IF(D47&gt;0.00000000001,D47*'CALCULADORA TECH E-3'!$D$15,0)</f>
        <v>0</v>
      </c>
      <c r="G48" s="71">
        <f t="shared" si="2"/>
        <v>0</v>
      </c>
      <c r="H48" s="71">
        <f>IF($B48&lt;0,0,G48/POWER(1+'CALCULADORA TECH E-3'!$D$14,'Flujos Mensuales'!$B48/$A$3))</f>
        <v>0</v>
      </c>
      <c r="I48" s="71">
        <f>IF(B48&lt;0,0,G48/POWER(1+'CALCULADORA TECH E-3'!$D$21,'Flujos Mensuales'!B48/$A$3))</f>
        <v>0</v>
      </c>
      <c r="J48" s="72">
        <f t="shared" si="8"/>
        <v>0</v>
      </c>
      <c r="K48" s="70">
        <f t="shared" si="3"/>
        <v>0</v>
      </c>
      <c r="L48" s="62"/>
      <c r="M48" s="74">
        <f>VLOOKUP(A48,'CALCULADORA TECH E-3'!$C$29:$E$112,3,0)</f>
        <v>0</v>
      </c>
      <c r="N48" s="68">
        <f t="shared" si="7"/>
        <v>-8.659739592076221E-15</v>
      </c>
      <c r="O48" s="70">
        <f t="shared" si="6"/>
        <v>0</v>
      </c>
      <c r="P48" s="73">
        <f>IF(N47&gt;0.00000000001,N47*'CALCULADORA TECH E-3'!$E$15,0)</f>
        <v>0</v>
      </c>
      <c r="Q48" s="71">
        <f t="shared" si="4"/>
        <v>0</v>
      </c>
      <c r="R48" s="71">
        <f>IF($B48&lt;0,0,Q48/POWER(1+'CALCULADORA TECH E-3'!$E$14,'Flujos Mensuales'!$B48/$A$3))</f>
        <v>0</v>
      </c>
      <c r="S48" s="71">
        <f>IF($B48&lt;0,0,Q48/POWER(1+'CALCULADORA TECH E-3'!$E$21,'Flujos Mensuales'!$B48/$A$3))</f>
        <v>0</v>
      </c>
      <c r="T48" s="72">
        <f t="shared" si="9"/>
        <v>0</v>
      </c>
      <c r="U48" s="89">
        <f t="shared" si="5"/>
        <v>0</v>
      </c>
      <c r="W48" s="1">
        <v>41</v>
      </c>
      <c r="X48" s="1">
        <f t="shared" si="11"/>
        <v>23</v>
      </c>
    </row>
    <row r="49" spans="1:24" ht="12.75">
      <c r="A49" s="13">
        <f>_XLL.FECHA.MES(A48,1)</f>
        <v>39979</v>
      </c>
      <c r="B49" s="76">
        <f>DAYS360('CALCULADORA TECH E-3'!$G$8,A49,0)</f>
        <v>720</v>
      </c>
      <c r="C49" s="77">
        <f>VLOOKUP(A49,'CALCULADORA TECH E-3'!$C$29:$E$112,2,0)</f>
        <v>0</v>
      </c>
      <c r="D49" s="68">
        <f t="shared" si="12"/>
        <v>0</v>
      </c>
      <c r="E49" s="70">
        <f t="shared" si="13"/>
        <v>0</v>
      </c>
      <c r="F49" s="73">
        <f>IF(D48&gt;0.00000000001,D48*'CALCULADORA TECH E-3'!$D$15,0)</f>
        <v>0</v>
      </c>
      <c r="G49" s="71">
        <f t="shared" si="2"/>
        <v>0</v>
      </c>
      <c r="H49" s="71">
        <f>IF($B49&lt;0,0,G49/POWER(1+'CALCULADORA TECH E-3'!$D$14,'Flujos Mensuales'!$B49/$A$3))</f>
        <v>0</v>
      </c>
      <c r="I49" s="71">
        <f>IF(B49&lt;0,0,G49/POWER(1+'CALCULADORA TECH E-3'!$D$21,'Flujos Mensuales'!B49/$A$3))</f>
        <v>0</v>
      </c>
      <c r="J49" s="72">
        <f t="shared" si="8"/>
        <v>0</v>
      </c>
      <c r="K49" s="70">
        <f t="shared" si="3"/>
        <v>0</v>
      </c>
      <c r="L49" s="62"/>
      <c r="M49" s="74">
        <f>VLOOKUP(A49,'CALCULADORA TECH E-3'!$C$29:$E$112,3,0)</f>
        <v>0</v>
      </c>
      <c r="N49" s="68">
        <f t="shared" si="7"/>
        <v>-8.659739592076221E-15</v>
      </c>
      <c r="O49" s="70">
        <f t="shared" si="6"/>
        <v>0</v>
      </c>
      <c r="P49" s="73">
        <f>IF(N48&gt;0.00000000001,N48*'CALCULADORA TECH E-3'!$E$15,0)</f>
        <v>0</v>
      </c>
      <c r="Q49" s="71">
        <f t="shared" si="4"/>
        <v>0</v>
      </c>
      <c r="R49" s="71">
        <f>IF($B49&lt;0,0,Q49/POWER(1+'CALCULADORA TECH E-3'!$E$14,'Flujos Mensuales'!$B49/$A$3))</f>
        <v>0</v>
      </c>
      <c r="S49" s="71">
        <f>IF($B49&lt;0,0,Q49/POWER(1+'CALCULADORA TECH E-3'!$E$21,'Flujos Mensuales'!$B49/$A$3))</f>
        <v>0</v>
      </c>
      <c r="T49" s="72">
        <f t="shared" si="9"/>
        <v>0</v>
      </c>
      <c r="U49" s="89">
        <f t="shared" si="5"/>
        <v>0</v>
      </c>
      <c r="W49" s="1">
        <v>42</v>
      </c>
      <c r="X49" s="1">
        <f t="shared" si="11"/>
        <v>24</v>
      </c>
    </row>
    <row r="50" spans="1:24" ht="12.75">
      <c r="A50" s="13">
        <f>_XLL.FECHA.MES(A49,1)</f>
        <v>40009</v>
      </c>
      <c r="B50" s="76">
        <f>DAYS360('CALCULADORA TECH E-3'!$G$8,A50,0)</f>
        <v>750</v>
      </c>
      <c r="C50" s="77">
        <f>VLOOKUP(A50,'CALCULADORA TECH E-3'!$C$29:$E$112,2,0)</f>
        <v>0</v>
      </c>
      <c r="D50" s="68">
        <f t="shared" si="12"/>
        <v>0</v>
      </c>
      <c r="E50" s="70">
        <f t="shared" si="13"/>
        <v>0</v>
      </c>
      <c r="F50" s="73">
        <f>IF(D49&gt;0.00000000001,D49*'CALCULADORA TECH E-3'!$D$15,0)</f>
        <v>0</v>
      </c>
      <c r="G50" s="71">
        <f t="shared" si="2"/>
        <v>0</v>
      </c>
      <c r="H50" s="71">
        <f>IF($B50&lt;0,0,G50/POWER(1+'CALCULADORA TECH E-3'!$D$14,'Flujos Mensuales'!$B50/$A$3))</f>
        <v>0</v>
      </c>
      <c r="I50" s="71">
        <f>IF(B50&lt;0,0,G50/POWER(1+'CALCULADORA TECH E-3'!$D$21,'Flujos Mensuales'!B50/$A$3))</f>
        <v>0</v>
      </c>
      <c r="J50" s="72">
        <f t="shared" si="8"/>
        <v>0</v>
      </c>
      <c r="K50" s="70">
        <f t="shared" si="3"/>
        <v>0</v>
      </c>
      <c r="L50" s="62"/>
      <c r="M50" s="74">
        <f>VLOOKUP(A50,'CALCULADORA TECH E-3'!$C$29:$E$112,3,0)</f>
        <v>0</v>
      </c>
      <c r="N50" s="68">
        <f t="shared" si="7"/>
        <v>-8.659739592076221E-15</v>
      </c>
      <c r="O50" s="70">
        <f t="shared" si="6"/>
        <v>0</v>
      </c>
      <c r="P50" s="73">
        <f>IF(N49&gt;0.00000000001,N49*'CALCULADORA TECH E-3'!$E$15,0)</f>
        <v>0</v>
      </c>
      <c r="Q50" s="71">
        <f t="shared" si="4"/>
        <v>0</v>
      </c>
      <c r="R50" s="71">
        <f>IF($B50&lt;0,0,Q50/POWER(1+'CALCULADORA TECH E-3'!$E$14,'Flujos Mensuales'!$B50/$A$3))</f>
        <v>0</v>
      </c>
      <c r="S50" s="71">
        <f>IF($B50&lt;0,0,Q50/POWER(1+'CALCULADORA TECH E-3'!$E$21,'Flujos Mensuales'!$B50/$A$3))</f>
        <v>0</v>
      </c>
      <c r="T50" s="72">
        <f t="shared" si="9"/>
        <v>0</v>
      </c>
      <c r="U50" s="89">
        <f t="shared" si="5"/>
        <v>0</v>
      </c>
      <c r="W50" s="12">
        <v>43</v>
      </c>
      <c r="X50" s="1">
        <f t="shared" si="11"/>
        <v>25</v>
      </c>
    </row>
    <row r="51" spans="1:24" ht="12.75">
      <c r="A51" s="13">
        <f>_XLL.FECHA.MES(A50,1)</f>
        <v>40040</v>
      </c>
      <c r="B51" s="76">
        <f>DAYS360('CALCULADORA TECH E-3'!$G$8,A51,0)</f>
        <v>780</v>
      </c>
      <c r="C51" s="77">
        <f>VLOOKUP(A51,'CALCULADORA TECH E-3'!$C$29:$E$112,2,0)</f>
        <v>0</v>
      </c>
      <c r="D51" s="68">
        <f t="shared" si="12"/>
        <v>0</v>
      </c>
      <c r="E51" s="70">
        <f t="shared" si="13"/>
        <v>0</v>
      </c>
      <c r="F51" s="73">
        <f>IF(D50&gt;0.00000000001,D50*'CALCULADORA TECH E-3'!$D$15,0)</f>
        <v>0</v>
      </c>
      <c r="G51" s="71">
        <f t="shared" si="2"/>
        <v>0</v>
      </c>
      <c r="H51" s="71">
        <f>IF($B51&lt;0,0,G51/POWER(1+'CALCULADORA TECH E-3'!$D$14,'Flujos Mensuales'!$B51/$A$3))</f>
        <v>0</v>
      </c>
      <c r="I51" s="71">
        <f>IF(B51&lt;0,0,G51/POWER(1+'CALCULADORA TECH E-3'!$D$21,'Flujos Mensuales'!B51/$A$3))</f>
        <v>0</v>
      </c>
      <c r="J51" s="72">
        <f t="shared" si="8"/>
        <v>0</v>
      </c>
      <c r="K51" s="70">
        <f t="shared" si="3"/>
        <v>0</v>
      </c>
      <c r="L51" s="62"/>
      <c r="M51" s="74">
        <f>VLOOKUP(A51,'CALCULADORA TECH E-3'!$C$29:$E$112,3,0)</f>
        <v>0</v>
      </c>
      <c r="N51" s="68">
        <f t="shared" si="7"/>
        <v>-8.659739592076221E-15</v>
      </c>
      <c r="O51" s="70">
        <f t="shared" si="6"/>
        <v>0</v>
      </c>
      <c r="P51" s="73">
        <f>IF(N50&gt;0.00000000001,N50*'CALCULADORA TECH E-3'!$E$15,0)</f>
        <v>0</v>
      </c>
      <c r="Q51" s="71">
        <f t="shared" si="4"/>
        <v>0</v>
      </c>
      <c r="R51" s="71">
        <f>IF($B51&lt;0,0,Q51/POWER(1+'CALCULADORA TECH E-3'!$E$14,'Flujos Mensuales'!$B51/$A$3))</f>
        <v>0</v>
      </c>
      <c r="S51" s="71">
        <f>IF($B51&lt;0,0,Q51/POWER(1+'CALCULADORA TECH E-3'!$E$21,'Flujos Mensuales'!$B51/$A$3))</f>
        <v>0</v>
      </c>
      <c r="T51" s="72">
        <f t="shared" si="9"/>
        <v>0</v>
      </c>
      <c r="U51" s="89">
        <f t="shared" si="5"/>
        <v>0</v>
      </c>
      <c r="W51" s="1">
        <v>44</v>
      </c>
      <c r="X51" s="1">
        <f t="shared" si="11"/>
        <v>26</v>
      </c>
    </row>
    <row r="52" spans="1:24" ht="12.75">
      <c r="A52" s="13">
        <f>_XLL.FECHA.MES(A51,1)</f>
        <v>40071</v>
      </c>
      <c r="B52" s="76">
        <f>DAYS360('CALCULADORA TECH E-3'!$G$8,A52,0)</f>
        <v>810</v>
      </c>
      <c r="C52" s="77">
        <f>VLOOKUP(A52,'CALCULADORA TECH E-3'!$C$29:$E$112,2,0)</f>
        <v>0</v>
      </c>
      <c r="D52" s="68">
        <f t="shared" si="12"/>
        <v>0</v>
      </c>
      <c r="E52" s="70">
        <f t="shared" si="13"/>
        <v>0</v>
      </c>
      <c r="F52" s="73">
        <f>IF(D51&gt;0.00000000001,D51*'CALCULADORA TECH E-3'!$D$15,0)</f>
        <v>0</v>
      </c>
      <c r="G52" s="71">
        <f t="shared" si="2"/>
        <v>0</v>
      </c>
      <c r="H52" s="71">
        <f>IF($B52&lt;0,0,G52/POWER(1+'CALCULADORA TECH E-3'!$D$14,'Flujos Mensuales'!$B52/$A$3))</f>
        <v>0</v>
      </c>
      <c r="I52" s="71">
        <f>IF(B52&lt;0,0,G52/POWER(1+'CALCULADORA TECH E-3'!$D$21,'Flujos Mensuales'!B52/$A$3))</f>
        <v>0</v>
      </c>
      <c r="J52" s="72">
        <f t="shared" si="8"/>
        <v>0</v>
      </c>
      <c r="K52" s="70">
        <f t="shared" si="3"/>
        <v>0</v>
      </c>
      <c r="L52" s="62"/>
      <c r="M52" s="74">
        <f>VLOOKUP(A52,'CALCULADORA TECH E-3'!$C$29:$E$112,3,0)</f>
        <v>0</v>
      </c>
      <c r="N52" s="68">
        <f t="shared" si="7"/>
        <v>-8.659739592076221E-15</v>
      </c>
      <c r="O52" s="70">
        <f t="shared" si="6"/>
        <v>0</v>
      </c>
      <c r="P52" s="73">
        <f>IF(N51&gt;0.00000000001,N51*'CALCULADORA TECH E-3'!$E$15,0)</f>
        <v>0</v>
      </c>
      <c r="Q52" s="71">
        <f t="shared" si="4"/>
        <v>0</v>
      </c>
      <c r="R52" s="71">
        <f>IF($B52&lt;0,0,Q52/POWER(1+'CALCULADORA TECH E-3'!$E$14,'Flujos Mensuales'!$B52/$A$3))</f>
        <v>0</v>
      </c>
      <c r="S52" s="71">
        <f>IF($B52&lt;0,0,Q52/POWER(1+'CALCULADORA TECH E-3'!$E$21,'Flujos Mensuales'!$B52/$A$3))</f>
        <v>0</v>
      </c>
      <c r="T52" s="72">
        <f t="shared" si="9"/>
        <v>0</v>
      </c>
      <c r="U52" s="89">
        <f t="shared" si="5"/>
        <v>0</v>
      </c>
      <c r="W52" s="1">
        <v>45</v>
      </c>
      <c r="X52" s="1">
        <f t="shared" si="11"/>
        <v>27</v>
      </c>
    </row>
    <row r="53" spans="1:24" ht="12.75">
      <c r="A53" s="13">
        <f>_XLL.FECHA.MES(A52,1)</f>
        <v>40101</v>
      </c>
      <c r="B53" s="76">
        <f>DAYS360('CALCULADORA TECH E-3'!$G$8,A53,0)</f>
        <v>840</v>
      </c>
      <c r="C53" s="77">
        <f>VLOOKUP(A53,'CALCULADORA TECH E-3'!$C$29:$E$112,2,0)</f>
        <v>0</v>
      </c>
      <c r="D53" s="68">
        <f t="shared" si="12"/>
        <v>0</v>
      </c>
      <c r="E53" s="70">
        <f t="shared" si="13"/>
        <v>0</v>
      </c>
      <c r="F53" s="73">
        <f>IF(D52&gt;0.00000000001,D52*'CALCULADORA TECH E-3'!$D$15,0)</f>
        <v>0</v>
      </c>
      <c r="G53" s="71">
        <f t="shared" si="2"/>
        <v>0</v>
      </c>
      <c r="H53" s="71">
        <f>IF($B53&lt;0,0,G53/POWER(1+'CALCULADORA TECH E-3'!$D$14,'Flujos Mensuales'!$B53/$A$3))</f>
        <v>0</v>
      </c>
      <c r="I53" s="71">
        <f>IF(B53&lt;0,0,G53/POWER(1+'CALCULADORA TECH E-3'!$D$21,'Flujos Mensuales'!B53/$A$3))</f>
        <v>0</v>
      </c>
      <c r="J53" s="72">
        <f t="shared" si="8"/>
        <v>0</v>
      </c>
      <c r="K53" s="70">
        <f t="shared" si="3"/>
        <v>0</v>
      </c>
      <c r="L53" s="62"/>
      <c r="M53" s="74">
        <f>VLOOKUP(A53,'CALCULADORA TECH E-3'!$C$29:$E$112,3,0)</f>
        <v>0</v>
      </c>
      <c r="N53" s="68">
        <f t="shared" si="7"/>
        <v>-8.659739592076221E-15</v>
      </c>
      <c r="O53" s="70">
        <f t="shared" si="6"/>
        <v>0</v>
      </c>
      <c r="P53" s="73">
        <f>IF(N52&gt;0.00000000001,N52*'CALCULADORA TECH E-3'!$E$15,0)</f>
        <v>0</v>
      </c>
      <c r="Q53" s="71">
        <f t="shared" si="4"/>
        <v>0</v>
      </c>
      <c r="R53" s="71">
        <f>IF($B53&lt;0,0,Q53/POWER(1+'CALCULADORA TECH E-3'!$E$14,'Flujos Mensuales'!$B53/$A$3))</f>
        <v>0</v>
      </c>
      <c r="S53" s="71">
        <f>IF($B53&lt;0,0,Q53/POWER(1+'CALCULADORA TECH E-3'!$E$21,'Flujos Mensuales'!$B53/$A$3))</f>
        <v>0</v>
      </c>
      <c r="T53" s="72">
        <f t="shared" si="9"/>
        <v>0</v>
      </c>
      <c r="U53" s="89">
        <f t="shared" si="5"/>
        <v>0</v>
      </c>
      <c r="W53" s="12">
        <v>46</v>
      </c>
      <c r="X53" s="1">
        <f t="shared" si="11"/>
        <v>28</v>
      </c>
    </row>
    <row r="54" spans="1:24" ht="12.75">
      <c r="A54" s="13">
        <f>_XLL.FECHA.MES(A53,1)</f>
        <v>40132</v>
      </c>
      <c r="B54" s="76">
        <f>DAYS360('CALCULADORA TECH E-3'!$G$8,A54,0)</f>
        <v>870</v>
      </c>
      <c r="C54" s="77">
        <f>VLOOKUP(A54,'CALCULADORA TECH E-3'!$C$29:$E$112,2,0)</f>
        <v>0</v>
      </c>
      <c r="D54" s="68">
        <f t="shared" si="12"/>
        <v>0</v>
      </c>
      <c r="E54" s="70">
        <f t="shared" si="13"/>
        <v>0</v>
      </c>
      <c r="F54" s="73">
        <f>IF(D53&gt;0.00000000001,D53*'CALCULADORA TECH E-3'!$D$15,0)</f>
        <v>0</v>
      </c>
      <c r="G54" s="71">
        <f t="shared" si="2"/>
        <v>0</v>
      </c>
      <c r="H54" s="71">
        <f>IF($B54&lt;0,0,G54/POWER(1+'CALCULADORA TECH E-3'!$D$14,'Flujos Mensuales'!$B54/$A$3))</f>
        <v>0</v>
      </c>
      <c r="I54" s="71">
        <f>IF(B54&lt;0,0,G54/POWER(1+'CALCULADORA TECH E-3'!$D$21,'Flujos Mensuales'!B54/$A$3))</f>
        <v>0</v>
      </c>
      <c r="J54" s="72">
        <f t="shared" si="8"/>
        <v>0</v>
      </c>
      <c r="K54" s="70">
        <f t="shared" si="3"/>
        <v>0</v>
      </c>
      <c r="L54" s="62"/>
      <c r="M54" s="74">
        <f>VLOOKUP(A54,'CALCULADORA TECH E-3'!$C$29:$E$112,3,0)</f>
        <v>0</v>
      </c>
      <c r="N54" s="68">
        <f t="shared" si="7"/>
        <v>-8.659739592076221E-15</v>
      </c>
      <c r="O54" s="70">
        <f t="shared" si="6"/>
        <v>0</v>
      </c>
      <c r="P54" s="73">
        <f>IF(N53&gt;0.00000000001,N53*'CALCULADORA TECH E-3'!$E$15,0)</f>
        <v>0</v>
      </c>
      <c r="Q54" s="71">
        <f t="shared" si="4"/>
        <v>0</v>
      </c>
      <c r="R54" s="71">
        <f>IF($B54&lt;0,0,Q54/POWER(1+'CALCULADORA TECH E-3'!$E$14,'Flujos Mensuales'!$B54/$A$3))</f>
        <v>0</v>
      </c>
      <c r="S54" s="71">
        <f>IF($B54&lt;0,0,Q54/POWER(1+'CALCULADORA TECH E-3'!$E$21,'Flujos Mensuales'!$B54/$A$3))</f>
        <v>0</v>
      </c>
      <c r="T54" s="72">
        <f t="shared" si="9"/>
        <v>0</v>
      </c>
      <c r="U54" s="89">
        <f t="shared" si="5"/>
        <v>0</v>
      </c>
      <c r="W54" s="1">
        <v>47</v>
      </c>
      <c r="X54" s="1">
        <f t="shared" si="11"/>
        <v>29</v>
      </c>
    </row>
    <row r="55" spans="1:24" ht="12.75">
      <c r="A55" s="13">
        <f>_XLL.FECHA.MES(A54,1)</f>
        <v>40162</v>
      </c>
      <c r="B55" s="76">
        <f>DAYS360('CALCULADORA TECH E-3'!$G$8,A55,0)</f>
        <v>900</v>
      </c>
      <c r="C55" s="77">
        <f>VLOOKUP(A55,'CALCULADORA TECH E-3'!$C$29:$E$112,2,0)</f>
        <v>0</v>
      </c>
      <c r="D55" s="68">
        <f t="shared" si="12"/>
        <v>0</v>
      </c>
      <c r="E55" s="70">
        <f t="shared" si="13"/>
        <v>0</v>
      </c>
      <c r="F55" s="73">
        <f>IF(D54&gt;0.00000000001,D54*'CALCULADORA TECH E-3'!$D$15,0)</f>
        <v>0</v>
      </c>
      <c r="G55" s="71">
        <f t="shared" si="2"/>
        <v>0</v>
      </c>
      <c r="H55" s="71">
        <f>IF($B55&lt;0,0,G55/POWER(1+'CALCULADORA TECH E-3'!$D$14,'Flujos Mensuales'!$B55/$A$3))</f>
        <v>0</v>
      </c>
      <c r="I55" s="71">
        <f>IF(B55&lt;0,0,G55/POWER(1+'CALCULADORA TECH E-3'!$D$21,'Flujos Mensuales'!B55/$A$3))</f>
        <v>0</v>
      </c>
      <c r="J55" s="72">
        <f t="shared" si="8"/>
        <v>0</v>
      </c>
      <c r="K55" s="70">
        <f t="shared" si="3"/>
        <v>0</v>
      </c>
      <c r="L55" s="62"/>
      <c r="M55" s="74">
        <f>VLOOKUP(A55,'CALCULADORA TECH E-3'!$C$29:$E$112,3,0)</f>
        <v>0</v>
      </c>
      <c r="N55" s="68">
        <f t="shared" si="7"/>
        <v>-8.659739592076221E-15</v>
      </c>
      <c r="O55" s="70">
        <f t="shared" si="6"/>
        <v>0</v>
      </c>
      <c r="P55" s="73">
        <f>IF(N54&gt;0.00000000001,N54*'CALCULADORA TECH E-3'!$E$15,0)</f>
        <v>0</v>
      </c>
      <c r="Q55" s="71">
        <f t="shared" si="4"/>
        <v>0</v>
      </c>
      <c r="R55" s="71">
        <f>IF($B55&lt;0,0,Q55/POWER(1+'CALCULADORA TECH E-3'!$E$14,'Flujos Mensuales'!$B55/$A$3))</f>
        <v>0</v>
      </c>
      <c r="S55" s="71">
        <f>IF($B55&lt;0,0,Q55/POWER(1+'CALCULADORA TECH E-3'!$E$21,'Flujos Mensuales'!$B55/$A$3))</f>
        <v>0</v>
      </c>
      <c r="T55" s="72">
        <f t="shared" si="9"/>
        <v>0</v>
      </c>
      <c r="U55" s="89">
        <f t="shared" si="5"/>
        <v>0</v>
      </c>
      <c r="W55" s="1">
        <v>48</v>
      </c>
      <c r="X55" s="1">
        <f t="shared" si="11"/>
        <v>30</v>
      </c>
    </row>
    <row r="56" spans="1:24" ht="12.75">
      <c r="A56" s="13">
        <f>_XLL.FECHA.MES(A55,1)</f>
        <v>40193</v>
      </c>
      <c r="B56" s="76">
        <f>DAYS360('CALCULADORA TECH E-3'!$G$8,A56,0)</f>
        <v>930</v>
      </c>
      <c r="C56" s="77">
        <f>VLOOKUP(A56,'CALCULADORA TECH E-3'!$C$29:$E$112,2,0)</f>
        <v>0</v>
      </c>
      <c r="D56" s="68">
        <f t="shared" si="12"/>
        <v>0</v>
      </c>
      <c r="E56" s="70">
        <f t="shared" si="13"/>
        <v>0</v>
      </c>
      <c r="F56" s="73">
        <f>IF(D55&gt;0.00000000001,D55*'CALCULADORA TECH E-3'!$D$15,0)</f>
        <v>0</v>
      </c>
      <c r="G56" s="71">
        <f t="shared" si="2"/>
        <v>0</v>
      </c>
      <c r="H56" s="71">
        <f>IF($B56&lt;0,0,G56/POWER(1+'CALCULADORA TECH E-3'!$D$14,'Flujos Mensuales'!$B56/$A$3))</f>
        <v>0</v>
      </c>
      <c r="I56" s="71">
        <f>IF(B56&lt;0,0,G56/POWER(1+'CALCULADORA TECH E-3'!$D$21,'Flujos Mensuales'!B56/$A$3))</f>
        <v>0</v>
      </c>
      <c r="J56" s="72">
        <f t="shared" si="8"/>
        <v>0</v>
      </c>
      <c r="K56" s="70">
        <f t="shared" si="3"/>
        <v>0</v>
      </c>
      <c r="L56" s="62"/>
      <c r="M56" s="74">
        <f>VLOOKUP(A56,'CALCULADORA TECH E-3'!$C$29:$E$112,3,0)</f>
        <v>0</v>
      </c>
      <c r="N56" s="68">
        <f t="shared" si="7"/>
        <v>-8.659739592076221E-15</v>
      </c>
      <c r="O56" s="70">
        <f t="shared" si="6"/>
        <v>0</v>
      </c>
      <c r="P56" s="73">
        <f>IF(N55&gt;0.00000000001,N55*'CALCULADORA TECH E-3'!$E$15,0)</f>
        <v>0</v>
      </c>
      <c r="Q56" s="71">
        <f t="shared" si="4"/>
        <v>0</v>
      </c>
      <c r="R56" s="71">
        <f>IF($B56&lt;0,0,Q56/POWER(1+'CALCULADORA TECH E-3'!$E$14,'Flujos Mensuales'!$B56/$A$3))</f>
        <v>0</v>
      </c>
      <c r="S56" s="71">
        <f>IF($B56&lt;0,0,Q56/POWER(1+'CALCULADORA TECH E-3'!$E$21,'Flujos Mensuales'!$B56/$A$3))</f>
        <v>0</v>
      </c>
      <c r="T56" s="72">
        <f t="shared" si="9"/>
        <v>0</v>
      </c>
      <c r="U56" s="89">
        <f t="shared" si="5"/>
        <v>0</v>
      </c>
      <c r="W56" s="12">
        <v>49</v>
      </c>
      <c r="X56" s="1">
        <f t="shared" si="11"/>
        <v>31</v>
      </c>
    </row>
    <row r="57" spans="1:24" ht="12.75">
      <c r="A57" s="13">
        <f>_XLL.FECHA.MES(A56,1)</f>
        <v>40224</v>
      </c>
      <c r="B57" s="76">
        <f>DAYS360('CALCULADORA TECH E-3'!$G$8,A57,0)</f>
        <v>960</v>
      </c>
      <c r="C57" s="77">
        <f>VLOOKUP(A57,'CALCULADORA TECH E-3'!$C$29:$E$112,2,0)</f>
        <v>0</v>
      </c>
      <c r="D57" s="68">
        <f t="shared" si="12"/>
        <v>0</v>
      </c>
      <c r="E57" s="70">
        <f t="shared" si="13"/>
        <v>0</v>
      </c>
      <c r="F57" s="73">
        <f>IF(D56&gt;0.00000000001,D56*'CALCULADORA TECH E-3'!$D$15,0)</f>
        <v>0</v>
      </c>
      <c r="G57" s="71">
        <f t="shared" si="2"/>
        <v>0</v>
      </c>
      <c r="H57" s="71">
        <f>IF($B57&lt;0,0,G57/POWER(1+'CALCULADORA TECH E-3'!$D$14,'Flujos Mensuales'!$B57/$A$3))</f>
        <v>0</v>
      </c>
      <c r="I57" s="71">
        <f>IF(B57&lt;0,0,G57/POWER(1+'CALCULADORA TECH E-3'!$D$21,'Flujos Mensuales'!B57/$A$3))</f>
        <v>0</v>
      </c>
      <c r="J57" s="72">
        <f t="shared" si="8"/>
        <v>0</v>
      </c>
      <c r="K57" s="70">
        <f t="shared" si="3"/>
        <v>0</v>
      </c>
      <c r="L57" s="62"/>
      <c r="M57" s="74">
        <f>VLOOKUP(A57,'CALCULADORA TECH E-3'!$C$29:$E$112,3,0)</f>
        <v>0</v>
      </c>
      <c r="N57" s="68">
        <f t="shared" si="7"/>
        <v>-8.659739592076221E-15</v>
      </c>
      <c r="O57" s="70">
        <f t="shared" si="6"/>
        <v>0</v>
      </c>
      <c r="P57" s="73">
        <f>IF(N56&gt;0.00000000001,N56*'CALCULADORA TECH E-3'!$E$15,0)</f>
        <v>0</v>
      </c>
      <c r="Q57" s="71">
        <f t="shared" si="4"/>
        <v>0</v>
      </c>
      <c r="R57" s="71">
        <f>IF($B57&lt;0,0,Q57/POWER(1+'CALCULADORA TECH E-3'!$E$14,'Flujos Mensuales'!$B57/$A$3))</f>
        <v>0</v>
      </c>
      <c r="S57" s="71">
        <f>IF($B57&lt;0,0,Q57/POWER(1+'CALCULADORA TECH E-3'!$E$21,'Flujos Mensuales'!$B57/$A$3))</f>
        <v>0</v>
      </c>
      <c r="T57" s="72">
        <f t="shared" si="9"/>
        <v>0</v>
      </c>
      <c r="U57" s="89">
        <f t="shared" si="5"/>
        <v>0</v>
      </c>
      <c r="W57" s="1">
        <v>50</v>
      </c>
      <c r="X57" s="1">
        <f t="shared" si="11"/>
        <v>32</v>
      </c>
    </row>
    <row r="58" spans="1:24" ht="12.75">
      <c r="A58" s="13">
        <f>_XLL.FECHA.MES(A57,1)</f>
        <v>40252</v>
      </c>
      <c r="B58" s="76">
        <f>DAYS360('CALCULADORA TECH E-3'!$G$8,A58,0)</f>
        <v>990</v>
      </c>
      <c r="C58" s="77">
        <f>VLOOKUP(A58,'CALCULADORA TECH E-3'!$C$29:$E$112,2,0)</f>
        <v>0</v>
      </c>
      <c r="D58" s="68">
        <f t="shared" si="12"/>
        <v>0</v>
      </c>
      <c r="E58" s="70">
        <f t="shared" si="13"/>
        <v>0</v>
      </c>
      <c r="F58" s="73">
        <f>IF(D57&gt;0.00000000001,D57*'CALCULADORA TECH E-3'!$D$15,0)</f>
        <v>0</v>
      </c>
      <c r="G58" s="71">
        <f t="shared" si="2"/>
        <v>0</v>
      </c>
      <c r="H58" s="71">
        <f>IF($B58&lt;0,0,G58/POWER(1+'CALCULADORA TECH E-3'!$D$14,'Flujos Mensuales'!$B58/$A$3))</f>
        <v>0</v>
      </c>
      <c r="I58" s="71">
        <f>IF(B58&lt;0,0,G58/POWER(1+'CALCULADORA TECH E-3'!$D$21,'Flujos Mensuales'!B58/$A$3))</f>
        <v>0</v>
      </c>
      <c r="J58" s="72">
        <f t="shared" si="8"/>
        <v>0</v>
      </c>
      <c r="K58" s="70">
        <f t="shared" si="3"/>
        <v>0</v>
      </c>
      <c r="L58" s="62"/>
      <c r="M58" s="74">
        <f>VLOOKUP(A58,'CALCULADORA TECH E-3'!$C$29:$E$112,3,0)</f>
        <v>0</v>
      </c>
      <c r="N58" s="68">
        <f t="shared" si="7"/>
        <v>-8.659739592076221E-15</v>
      </c>
      <c r="O58" s="70">
        <f t="shared" si="6"/>
        <v>0</v>
      </c>
      <c r="P58" s="73">
        <f>IF(N57&gt;0.00000000001,N57*'CALCULADORA TECH E-3'!$E$15,0)</f>
        <v>0</v>
      </c>
      <c r="Q58" s="71">
        <f t="shared" si="4"/>
        <v>0</v>
      </c>
      <c r="R58" s="71">
        <f>IF($B58&lt;0,0,Q58/POWER(1+'CALCULADORA TECH E-3'!$E$14,'Flujos Mensuales'!$B58/$A$3))</f>
        <v>0</v>
      </c>
      <c r="S58" s="71">
        <f>IF($B58&lt;0,0,Q58/POWER(1+'CALCULADORA TECH E-3'!$E$21,'Flujos Mensuales'!$B58/$A$3))</f>
        <v>0</v>
      </c>
      <c r="T58" s="72">
        <f t="shared" si="9"/>
        <v>0</v>
      </c>
      <c r="U58" s="89">
        <f t="shared" si="5"/>
        <v>0</v>
      </c>
      <c r="W58" s="1">
        <v>51</v>
      </c>
      <c r="X58" s="1">
        <f t="shared" si="11"/>
        <v>33</v>
      </c>
    </row>
    <row r="59" spans="1:24" ht="12.75">
      <c r="A59" s="13">
        <f>_XLL.FECHA.MES(A58,1)</f>
        <v>40283</v>
      </c>
      <c r="B59" s="76">
        <f>DAYS360('CALCULADORA TECH E-3'!$G$8,A59,0)</f>
        <v>1020</v>
      </c>
      <c r="C59" s="77">
        <f>VLOOKUP(A59,'CALCULADORA TECH E-3'!$C$29:$E$112,2,0)</f>
        <v>0</v>
      </c>
      <c r="D59" s="68">
        <f t="shared" si="12"/>
        <v>0</v>
      </c>
      <c r="E59" s="70">
        <f t="shared" si="13"/>
        <v>0</v>
      </c>
      <c r="F59" s="73">
        <f>IF(D58&gt;0.00000000001,D58*'CALCULADORA TECH E-3'!$D$15,0)</f>
        <v>0</v>
      </c>
      <c r="G59" s="71">
        <f t="shared" si="2"/>
        <v>0</v>
      </c>
      <c r="H59" s="71">
        <f>IF($B59&lt;0,0,G59/POWER(1+'CALCULADORA TECH E-3'!$D$14,'Flujos Mensuales'!$B59/$A$3))</f>
        <v>0</v>
      </c>
      <c r="I59" s="71">
        <f>IF(B59&lt;0,0,G59/POWER(1+'CALCULADORA TECH E-3'!$D$21,'Flujos Mensuales'!B59/$A$3))</f>
        <v>0</v>
      </c>
      <c r="J59" s="72">
        <f t="shared" si="8"/>
        <v>0</v>
      </c>
      <c r="K59" s="70">
        <f t="shared" si="3"/>
        <v>0</v>
      </c>
      <c r="L59" s="62"/>
      <c r="M59" s="74">
        <f>VLOOKUP(A59,'CALCULADORA TECH E-3'!$C$29:$E$112,3,0)</f>
        <v>0</v>
      </c>
      <c r="N59" s="68">
        <f t="shared" si="7"/>
        <v>-8.659739592076221E-15</v>
      </c>
      <c r="O59" s="70">
        <f t="shared" si="6"/>
        <v>0</v>
      </c>
      <c r="P59" s="73">
        <f>IF(N58&gt;0.00000000001,N58*'CALCULADORA TECH E-3'!$E$15,0)</f>
        <v>0</v>
      </c>
      <c r="Q59" s="71">
        <f t="shared" si="4"/>
        <v>0</v>
      </c>
      <c r="R59" s="71">
        <f>IF($B59&lt;0,0,Q59/POWER(1+'CALCULADORA TECH E-3'!$E$14,'Flujos Mensuales'!$B59/$A$3))</f>
        <v>0</v>
      </c>
      <c r="S59" s="71">
        <f>IF($B59&lt;0,0,Q59/POWER(1+'CALCULADORA TECH E-3'!$E$21,'Flujos Mensuales'!$B59/$A$3))</f>
        <v>0</v>
      </c>
      <c r="T59" s="72">
        <f t="shared" si="9"/>
        <v>0</v>
      </c>
      <c r="U59" s="89">
        <f t="shared" si="5"/>
        <v>0</v>
      </c>
      <c r="W59" s="12">
        <v>52</v>
      </c>
      <c r="X59" s="1">
        <f t="shared" si="11"/>
        <v>34</v>
      </c>
    </row>
    <row r="60" spans="1:24" ht="12.75">
      <c r="A60" s="13">
        <f>_XLL.FECHA.MES(A59,1)</f>
        <v>40313</v>
      </c>
      <c r="B60" s="76">
        <f>DAYS360('CALCULADORA TECH E-3'!$G$8,A60,0)</f>
        <v>1050</v>
      </c>
      <c r="C60" s="77">
        <f>VLOOKUP(A60,'CALCULADORA TECH E-3'!$C$29:$E$112,2,0)</f>
        <v>0</v>
      </c>
      <c r="D60" s="68">
        <f t="shared" si="12"/>
        <v>0</v>
      </c>
      <c r="E60" s="70">
        <f t="shared" si="13"/>
        <v>0</v>
      </c>
      <c r="F60" s="73">
        <f>IF(D59&gt;0.00000000001,D59*'CALCULADORA TECH E-3'!$D$15,0)</f>
        <v>0</v>
      </c>
      <c r="G60" s="71">
        <f t="shared" si="2"/>
        <v>0</v>
      </c>
      <c r="H60" s="71">
        <f>IF($B60&lt;0,0,G60/POWER(1+'CALCULADORA TECH E-3'!$D$14,'Flujos Mensuales'!$B60/$A$3))</f>
        <v>0</v>
      </c>
      <c r="I60" s="71">
        <f>IF(B60&lt;0,0,G60/POWER(1+'CALCULADORA TECH E-3'!$D$21,'Flujos Mensuales'!B60/$A$3))</f>
        <v>0</v>
      </c>
      <c r="J60" s="72">
        <f t="shared" si="8"/>
        <v>0</v>
      </c>
      <c r="K60" s="70">
        <f t="shared" si="3"/>
        <v>0</v>
      </c>
      <c r="L60" s="62"/>
      <c r="M60" s="74">
        <f>VLOOKUP(A60,'CALCULADORA TECH E-3'!$C$29:$E$112,3,0)</f>
        <v>0</v>
      </c>
      <c r="N60" s="68">
        <f t="shared" si="7"/>
        <v>-8.659739592076221E-15</v>
      </c>
      <c r="O60" s="70">
        <f t="shared" si="6"/>
        <v>0</v>
      </c>
      <c r="P60" s="73">
        <f>IF(N59&gt;0.00000000001,N59*'CALCULADORA TECH E-3'!$E$15,0)</f>
        <v>0</v>
      </c>
      <c r="Q60" s="71">
        <f t="shared" si="4"/>
        <v>0</v>
      </c>
      <c r="R60" s="71">
        <f>IF($B60&lt;0,0,Q60/POWER(1+'CALCULADORA TECH E-3'!$E$14,'Flujos Mensuales'!$B60/$A$3))</f>
        <v>0</v>
      </c>
      <c r="S60" s="71">
        <f>IF($B60&lt;0,0,Q60/POWER(1+'CALCULADORA TECH E-3'!$E$21,'Flujos Mensuales'!$B60/$A$3))</f>
        <v>0</v>
      </c>
      <c r="T60" s="72">
        <f t="shared" si="9"/>
        <v>0</v>
      </c>
      <c r="U60" s="89">
        <f t="shared" si="5"/>
        <v>0</v>
      </c>
      <c r="W60" s="1">
        <v>53</v>
      </c>
      <c r="X60" s="1">
        <f t="shared" si="11"/>
        <v>35</v>
      </c>
    </row>
    <row r="61" spans="1:24" ht="12.75">
      <c r="A61" s="13">
        <f>_XLL.FECHA.MES(A60,1)</f>
        <v>40344</v>
      </c>
      <c r="B61" s="76">
        <f>DAYS360('CALCULADORA TECH E-3'!$G$8,A61,0)</f>
        <v>1080</v>
      </c>
      <c r="C61" s="77">
        <f>VLOOKUP(A61,'CALCULADORA TECH E-3'!$C$29:$E$112,2,0)</f>
        <v>0</v>
      </c>
      <c r="D61" s="68">
        <f t="shared" si="12"/>
        <v>0</v>
      </c>
      <c r="E61" s="70">
        <f t="shared" si="13"/>
        <v>0</v>
      </c>
      <c r="F61" s="73">
        <f>IF(D60&gt;0.00000000001,D60*'CALCULADORA TECH E-3'!$D$15,0)</f>
        <v>0</v>
      </c>
      <c r="G61" s="71">
        <f t="shared" si="2"/>
        <v>0</v>
      </c>
      <c r="H61" s="71">
        <f>IF($B61&lt;0,0,G61/POWER(1+'CALCULADORA TECH E-3'!$D$14,'Flujos Mensuales'!$B61/$A$3))</f>
        <v>0</v>
      </c>
      <c r="I61" s="71">
        <f>IF(B61&lt;0,0,G61/POWER(1+'CALCULADORA TECH E-3'!$D$21,'Flujos Mensuales'!B61/$A$3))</f>
        <v>0</v>
      </c>
      <c r="J61" s="72">
        <f t="shared" si="8"/>
        <v>0</v>
      </c>
      <c r="K61" s="70">
        <f t="shared" si="3"/>
        <v>0</v>
      </c>
      <c r="L61" s="62"/>
      <c r="M61" s="74">
        <f>VLOOKUP(A61,'CALCULADORA TECH E-3'!$C$29:$E$112,3,0)</f>
        <v>0</v>
      </c>
      <c r="N61" s="68">
        <f t="shared" si="7"/>
        <v>-8.659739592076221E-15</v>
      </c>
      <c r="O61" s="70">
        <f t="shared" si="6"/>
        <v>0</v>
      </c>
      <c r="P61" s="73">
        <f>IF(N60&gt;0.00000000001,N60*'CALCULADORA TECH E-3'!$E$15,0)</f>
        <v>0</v>
      </c>
      <c r="Q61" s="71">
        <f t="shared" si="4"/>
        <v>0</v>
      </c>
      <c r="R61" s="71">
        <f>IF($B61&lt;0,0,Q61/POWER(1+'CALCULADORA TECH E-3'!$E$14,'Flujos Mensuales'!$B61/$A$3))</f>
        <v>0</v>
      </c>
      <c r="S61" s="71">
        <f>IF($B61&lt;0,0,Q61/POWER(1+'CALCULADORA TECH E-3'!$E$21,'Flujos Mensuales'!$B61/$A$3))</f>
        <v>0</v>
      </c>
      <c r="T61" s="72">
        <f t="shared" si="9"/>
        <v>0</v>
      </c>
      <c r="U61" s="89">
        <f t="shared" si="5"/>
        <v>0</v>
      </c>
      <c r="W61" s="1">
        <v>54</v>
      </c>
      <c r="X61" s="1">
        <f t="shared" si="11"/>
        <v>36</v>
      </c>
    </row>
    <row r="62" spans="1:24" ht="12.75">
      <c r="A62" s="13">
        <f>_XLL.FECHA.MES(A61,1)</f>
        <v>40374</v>
      </c>
      <c r="B62" s="76">
        <f>DAYS360('CALCULADORA TECH E-3'!$G$8,A62,0)</f>
        <v>1110</v>
      </c>
      <c r="C62" s="77">
        <f>VLOOKUP(A62,'CALCULADORA TECH E-3'!$C$29:$E$112,2,0)</f>
        <v>0</v>
      </c>
      <c r="D62" s="68">
        <f t="shared" si="12"/>
        <v>0</v>
      </c>
      <c r="E62" s="70">
        <f t="shared" si="13"/>
        <v>0</v>
      </c>
      <c r="F62" s="73">
        <f>IF(D61&gt;0.00000000001,D61*'CALCULADORA TECH E-3'!$D$15,0)</f>
        <v>0</v>
      </c>
      <c r="G62" s="71">
        <f t="shared" si="2"/>
        <v>0</v>
      </c>
      <c r="H62" s="71">
        <f>IF($B62&lt;0,0,G62/POWER(1+'CALCULADORA TECH E-3'!$D$14,'Flujos Mensuales'!$B62/$A$3))</f>
        <v>0</v>
      </c>
      <c r="I62" s="71">
        <f>IF(B62&lt;0,0,G62/POWER(1+'CALCULADORA TECH E-3'!$D$21,'Flujos Mensuales'!B62/$A$3))</f>
        <v>0</v>
      </c>
      <c r="J62" s="72">
        <f t="shared" si="8"/>
        <v>0</v>
      </c>
      <c r="K62" s="70">
        <f t="shared" si="3"/>
        <v>0</v>
      </c>
      <c r="L62" s="62"/>
      <c r="M62" s="74">
        <f>VLOOKUP(A62,'CALCULADORA TECH E-3'!$C$29:$E$112,3,0)</f>
        <v>0</v>
      </c>
      <c r="N62" s="68">
        <f t="shared" si="7"/>
        <v>-8.659739592076221E-15</v>
      </c>
      <c r="O62" s="70">
        <f t="shared" si="6"/>
        <v>0</v>
      </c>
      <c r="P62" s="73">
        <f>IF(N61&gt;0.00000000001,N61*'CALCULADORA TECH E-3'!$E$15,0)</f>
        <v>0</v>
      </c>
      <c r="Q62" s="71">
        <f t="shared" si="4"/>
        <v>0</v>
      </c>
      <c r="R62" s="71">
        <f>IF($B62&lt;0,0,Q62/POWER(1+'CALCULADORA TECH E-3'!$E$14,'Flujos Mensuales'!$B62/$A$3))</f>
        <v>0</v>
      </c>
      <c r="S62" s="71">
        <f>IF($B62&lt;0,0,Q62/POWER(1+'CALCULADORA TECH E-3'!$E$21,'Flujos Mensuales'!$B62/$A$3))</f>
        <v>0</v>
      </c>
      <c r="T62" s="72">
        <f t="shared" si="9"/>
        <v>0</v>
      </c>
      <c r="U62" s="89">
        <f t="shared" si="5"/>
        <v>0</v>
      </c>
      <c r="W62" s="12">
        <v>55</v>
      </c>
      <c r="X62" s="1">
        <f t="shared" si="11"/>
        <v>37</v>
      </c>
    </row>
    <row r="63" spans="1:24" ht="12.75">
      <c r="A63" s="13">
        <f>_XLL.FECHA.MES(A62,1)</f>
        <v>40405</v>
      </c>
      <c r="B63" s="76">
        <f>DAYS360('CALCULADORA TECH E-3'!$G$8,A63,0)</f>
        <v>1140</v>
      </c>
      <c r="C63" s="77">
        <f>VLOOKUP(A63,'CALCULADORA TECH E-3'!$C$29:$E$112,2,0)</f>
        <v>0</v>
      </c>
      <c r="D63" s="68">
        <f t="shared" si="12"/>
        <v>0</v>
      </c>
      <c r="E63" s="70">
        <f t="shared" si="13"/>
        <v>0</v>
      </c>
      <c r="F63" s="73">
        <f>IF(D62&gt;0.00000000001,D62*'CALCULADORA TECH E-3'!$D$15,0)</f>
        <v>0</v>
      </c>
      <c r="G63" s="71">
        <f t="shared" si="2"/>
        <v>0</v>
      </c>
      <c r="H63" s="71">
        <f>IF($B63&lt;0,0,G63/POWER(1+'CALCULADORA TECH E-3'!$D$14,'Flujos Mensuales'!$B63/$A$3))</f>
        <v>0</v>
      </c>
      <c r="I63" s="71">
        <f>IF(B63&lt;0,0,G63/POWER(1+'CALCULADORA TECH E-3'!$D$21,'Flujos Mensuales'!B63/$A$3))</f>
        <v>0</v>
      </c>
      <c r="J63" s="72">
        <f t="shared" si="8"/>
        <v>0</v>
      </c>
      <c r="K63" s="70">
        <f t="shared" si="3"/>
        <v>0</v>
      </c>
      <c r="L63" s="62"/>
      <c r="M63" s="74">
        <f>VLOOKUP(A63,'CALCULADORA TECH E-3'!$C$29:$E$112,3,0)</f>
        <v>0</v>
      </c>
      <c r="N63" s="68">
        <f t="shared" si="7"/>
        <v>-8.659739592076221E-15</v>
      </c>
      <c r="O63" s="70">
        <f t="shared" si="6"/>
        <v>0</v>
      </c>
      <c r="P63" s="73">
        <f>IF(N62&gt;0.00000000001,N62*'CALCULADORA TECH E-3'!$E$15,0)</f>
        <v>0</v>
      </c>
      <c r="Q63" s="71">
        <f t="shared" si="4"/>
        <v>0</v>
      </c>
      <c r="R63" s="71">
        <f>IF($B63&lt;0,0,Q63/POWER(1+'CALCULADORA TECH E-3'!$E$14,'Flujos Mensuales'!$B63/$A$3))</f>
        <v>0</v>
      </c>
      <c r="S63" s="71">
        <f>IF($B63&lt;0,0,Q63/POWER(1+'CALCULADORA TECH E-3'!$E$21,'Flujos Mensuales'!$B63/$A$3))</f>
        <v>0</v>
      </c>
      <c r="T63" s="72">
        <f t="shared" si="9"/>
        <v>0</v>
      </c>
      <c r="U63" s="89">
        <f t="shared" si="5"/>
        <v>0</v>
      </c>
      <c r="W63" s="1">
        <v>56</v>
      </c>
      <c r="X63" s="1">
        <f t="shared" si="11"/>
        <v>38</v>
      </c>
    </row>
    <row r="64" spans="1:24" ht="12.75">
      <c r="A64" s="13">
        <f>_XLL.FECHA.MES(A63,1)</f>
        <v>40436</v>
      </c>
      <c r="B64" s="76">
        <f>DAYS360('CALCULADORA TECH E-3'!$G$8,A64,0)</f>
        <v>1170</v>
      </c>
      <c r="C64" s="77">
        <f>VLOOKUP(A64,'CALCULADORA TECH E-3'!$C$29:$E$112,2,0)</f>
        <v>0</v>
      </c>
      <c r="D64" s="68">
        <f t="shared" si="12"/>
        <v>0</v>
      </c>
      <c r="E64" s="70">
        <f t="shared" si="13"/>
        <v>0</v>
      </c>
      <c r="F64" s="73">
        <f>IF(D63&gt;0.00000000001,D63*'CALCULADORA TECH E-3'!$D$15,0)</f>
        <v>0</v>
      </c>
      <c r="G64" s="71">
        <f t="shared" si="2"/>
        <v>0</v>
      </c>
      <c r="H64" s="71">
        <f>IF($B64&lt;0,0,G64/POWER(1+'CALCULADORA TECH E-3'!$D$14,'Flujos Mensuales'!$B64/$A$3))</f>
        <v>0</v>
      </c>
      <c r="I64" s="71">
        <f>IF(B64&lt;0,0,G64/POWER(1+'CALCULADORA TECH E-3'!$D$21,'Flujos Mensuales'!B64/$A$3))</f>
        <v>0</v>
      </c>
      <c r="J64" s="72">
        <f t="shared" si="8"/>
        <v>0</v>
      </c>
      <c r="K64" s="70">
        <f t="shared" si="3"/>
        <v>0</v>
      </c>
      <c r="L64" s="62"/>
      <c r="M64" s="74">
        <f>VLOOKUP(A64,'CALCULADORA TECH E-3'!$C$29:$E$112,3,0)</f>
        <v>0</v>
      </c>
      <c r="N64" s="68">
        <f t="shared" si="7"/>
        <v>-8.659739592076221E-15</v>
      </c>
      <c r="O64" s="70">
        <f t="shared" si="6"/>
        <v>0</v>
      </c>
      <c r="P64" s="73">
        <f>IF(N63&gt;0.00000000001,N63*'CALCULADORA TECH E-3'!$E$15,0)</f>
        <v>0</v>
      </c>
      <c r="Q64" s="71">
        <f t="shared" si="4"/>
        <v>0</v>
      </c>
      <c r="R64" s="71">
        <f>IF($B64&lt;0,0,Q64/POWER(1+'CALCULADORA TECH E-3'!$E$14,'Flujos Mensuales'!$B64/$A$3))</f>
        <v>0</v>
      </c>
      <c r="S64" s="71">
        <f>IF($B64&lt;0,0,Q64/POWER(1+'CALCULADORA TECH E-3'!$E$21,'Flujos Mensuales'!$B64/$A$3))</f>
        <v>0</v>
      </c>
      <c r="T64" s="72">
        <f t="shared" si="9"/>
        <v>0</v>
      </c>
      <c r="U64" s="89">
        <f t="shared" si="5"/>
        <v>0</v>
      </c>
      <c r="W64" s="1">
        <v>57</v>
      </c>
      <c r="X64" s="1">
        <f t="shared" si="11"/>
        <v>39</v>
      </c>
    </row>
    <row r="65" spans="1:24" ht="12.75">
      <c r="A65" s="13">
        <f>_XLL.FECHA.MES(A64,1)</f>
        <v>40466</v>
      </c>
      <c r="B65" s="76">
        <f>DAYS360('CALCULADORA TECH E-3'!$G$8,A65,0)</f>
        <v>1200</v>
      </c>
      <c r="C65" s="77">
        <f>VLOOKUP(A65,'CALCULADORA TECH E-3'!$C$29:$E$112,2,0)</f>
        <v>0</v>
      </c>
      <c r="D65" s="68">
        <f t="shared" si="12"/>
        <v>0</v>
      </c>
      <c r="E65" s="70">
        <f t="shared" si="13"/>
        <v>0</v>
      </c>
      <c r="F65" s="73">
        <f>IF(D64&gt;0.00000000001,D64*'CALCULADORA TECH E-3'!$D$15,0)</f>
        <v>0</v>
      </c>
      <c r="G65" s="71">
        <f t="shared" si="2"/>
        <v>0</v>
      </c>
      <c r="H65" s="71">
        <f>IF($B65&lt;0,0,G65/POWER(1+'CALCULADORA TECH E-3'!$D$14,'Flujos Mensuales'!$B65/$A$3))</f>
        <v>0</v>
      </c>
      <c r="I65" s="71">
        <f>IF(B65&lt;0,0,G65/POWER(1+'CALCULADORA TECH E-3'!$D$21,'Flujos Mensuales'!B65/$A$3))</f>
        <v>0</v>
      </c>
      <c r="J65" s="72">
        <f t="shared" si="8"/>
        <v>0</v>
      </c>
      <c r="K65" s="70">
        <f t="shared" si="3"/>
        <v>0</v>
      </c>
      <c r="L65" s="62"/>
      <c r="M65" s="74">
        <f>VLOOKUP(A65,'CALCULADORA TECH E-3'!$C$29:$E$112,3,0)</f>
        <v>0</v>
      </c>
      <c r="N65" s="68">
        <f t="shared" si="7"/>
        <v>-8.659739592076221E-15</v>
      </c>
      <c r="O65" s="70">
        <f t="shared" si="6"/>
        <v>0</v>
      </c>
      <c r="P65" s="73">
        <f>IF(N64&gt;0.00000000001,N64*'CALCULADORA TECH E-3'!$E$15,0)</f>
        <v>0</v>
      </c>
      <c r="Q65" s="71">
        <f t="shared" si="4"/>
        <v>0</v>
      </c>
      <c r="R65" s="71">
        <f>IF($B65&lt;0,0,Q65/POWER(1+'CALCULADORA TECH E-3'!$E$14,'Flujos Mensuales'!$B65/$A$3))</f>
        <v>0</v>
      </c>
      <c r="S65" s="71">
        <f>IF($B65&lt;0,0,Q65/POWER(1+'CALCULADORA TECH E-3'!$E$21,'Flujos Mensuales'!$B65/$A$3))</f>
        <v>0</v>
      </c>
      <c r="T65" s="72">
        <f t="shared" si="9"/>
        <v>0</v>
      </c>
      <c r="U65" s="89">
        <f t="shared" si="5"/>
        <v>0</v>
      </c>
      <c r="W65" s="12">
        <v>58</v>
      </c>
      <c r="X65" s="1">
        <f t="shared" si="11"/>
        <v>40</v>
      </c>
    </row>
    <row r="66" spans="1:24" ht="12.75">
      <c r="A66" s="13">
        <f>_XLL.FECHA.MES(A65,1)</f>
        <v>40497</v>
      </c>
      <c r="B66" s="76">
        <f>DAYS360('CALCULADORA TECH E-3'!$G$8,A66,0)</f>
        <v>1230</v>
      </c>
      <c r="C66" s="77">
        <f>VLOOKUP(A66,'CALCULADORA TECH E-3'!$C$29:$E$112,2,0)</f>
        <v>0</v>
      </c>
      <c r="D66" s="68">
        <f t="shared" si="12"/>
        <v>0</v>
      </c>
      <c r="E66" s="70">
        <f t="shared" si="13"/>
        <v>0</v>
      </c>
      <c r="F66" s="73">
        <f>IF(D65&gt;0.00000000001,D65*'CALCULADORA TECH E-3'!$D$15,0)</f>
        <v>0</v>
      </c>
      <c r="G66" s="71">
        <f t="shared" si="2"/>
        <v>0</v>
      </c>
      <c r="H66" s="71">
        <f>IF($B66&lt;0,0,G66/POWER(1+'CALCULADORA TECH E-3'!$D$14,'Flujos Mensuales'!$B66/$A$3))</f>
        <v>0</v>
      </c>
      <c r="I66" s="71">
        <f>IF(B66&lt;0,0,G66/POWER(1+'CALCULADORA TECH E-3'!$D$21,'Flujos Mensuales'!B66/$A$3))</f>
        <v>0</v>
      </c>
      <c r="J66" s="72">
        <f t="shared" si="8"/>
        <v>0</v>
      </c>
      <c r="K66" s="70">
        <f t="shared" si="3"/>
        <v>0</v>
      </c>
      <c r="L66" s="62"/>
      <c r="M66" s="74">
        <f>VLOOKUP(A66,'CALCULADORA TECH E-3'!$C$29:$E$112,3,0)</f>
        <v>0</v>
      </c>
      <c r="N66" s="68">
        <f t="shared" si="7"/>
        <v>-8.659739592076221E-15</v>
      </c>
      <c r="O66" s="70">
        <f t="shared" si="6"/>
        <v>0</v>
      </c>
      <c r="P66" s="73">
        <f>IF(N65&gt;0.00000000001,N65*'CALCULADORA TECH E-3'!$E$15,0)</f>
        <v>0</v>
      </c>
      <c r="Q66" s="71">
        <f t="shared" si="4"/>
        <v>0</v>
      </c>
      <c r="R66" s="71">
        <f>IF($B66&lt;0,0,Q66/POWER(1+'CALCULADORA TECH E-3'!$E$14,'Flujos Mensuales'!$B66/$A$3))</f>
        <v>0</v>
      </c>
      <c r="S66" s="71">
        <f>IF($B66&lt;0,0,Q66/POWER(1+'CALCULADORA TECH E-3'!$E$21,'Flujos Mensuales'!$B66/$A$3))</f>
        <v>0</v>
      </c>
      <c r="T66" s="72">
        <f t="shared" si="9"/>
        <v>0</v>
      </c>
      <c r="U66" s="89">
        <f t="shared" si="5"/>
        <v>0</v>
      </c>
      <c r="W66" s="1">
        <v>59</v>
      </c>
      <c r="X66" s="1">
        <f t="shared" si="11"/>
        <v>41</v>
      </c>
    </row>
    <row r="67" spans="1:24" s="14" customFormat="1" ht="12.75">
      <c r="A67" s="18">
        <f>_XLL.FECHA.MES(A66,1)</f>
        <v>40527</v>
      </c>
      <c r="B67" s="76">
        <f>DAYS360('CALCULADORA TECH E-3'!$G$8,A67,0)</f>
        <v>1260</v>
      </c>
      <c r="C67" s="78">
        <f>VLOOKUP(A67,'CALCULADORA TECH E-3'!$C$29:$E$112,2,0)</f>
        <v>0</v>
      </c>
      <c r="D67" s="69">
        <f t="shared" si="12"/>
        <v>0</v>
      </c>
      <c r="E67" s="73">
        <f t="shared" si="13"/>
        <v>0</v>
      </c>
      <c r="F67" s="73">
        <f>IF(D66&gt;0.00000000001,D66*'CALCULADORA TECH E-3'!$D$15,0)</f>
        <v>0</v>
      </c>
      <c r="G67" s="71">
        <f t="shared" si="2"/>
        <v>0</v>
      </c>
      <c r="H67" s="71">
        <f>IF($B67&lt;0,0,G67/POWER(1+'CALCULADORA TECH E-3'!$D$14,'Flujos Mensuales'!$B67/$A$3))</f>
        <v>0</v>
      </c>
      <c r="I67" s="71">
        <f>IF(B67&lt;0,0,G67/POWER(1+'CALCULADORA TECH E-3'!$D$21,'Flujos Mensuales'!B67/$A$3))</f>
        <v>0</v>
      </c>
      <c r="J67" s="132">
        <f t="shared" si="8"/>
        <v>0</v>
      </c>
      <c r="K67" s="73">
        <f t="shared" si="3"/>
        <v>0</v>
      </c>
      <c r="L67" s="64"/>
      <c r="M67" s="75">
        <f>VLOOKUP(A67,'CALCULADORA TECH E-3'!$C$29:$E$112,3,0)</f>
        <v>0</v>
      </c>
      <c r="N67" s="69">
        <f t="shared" si="7"/>
        <v>-8.659739592076221E-15</v>
      </c>
      <c r="O67" s="73">
        <f t="shared" si="6"/>
        <v>0</v>
      </c>
      <c r="P67" s="73">
        <f>IF(N66&gt;0.00000000001,N66*'CALCULADORA TECH E-3'!$E$15,0)</f>
        <v>0</v>
      </c>
      <c r="Q67" s="71">
        <f t="shared" si="4"/>
        <v>0</v>
      </c>
      <c r="R67" s="71">
        <f>IF($B67&lt;0,0,Q67/POWER(1+'CALCULADORA TECH E-3'!$E$14,'Flujos Mensuales'!$B67/$A$3))</f>
        <v>0</v>
      </c>
      <c r="S67" s="71">
        <f>IF($B67&lt;0,0,Q67/POWER(1+'CALCULADORA TECH E-3'!$E$21,'Flujos Mensuales'!$B67/$A$3))</f>
        <v>0</v>
      </c>
      <c r="T67" s="132">
        <f t="shared" si="9"/>
        <v>0</v>
      </c>
      <c r="U67" s="133">
        <f t="shared" si="5"/>
        <v>0</v>
      </c>
      <c r="W67" s="14">
        <v>60</v>
      </c>
      <c r="X67" s="1">
        <f t="shared" si="11"/>
        <v>42</v>
      </c>
    </row>
    <row r="68" spans="1:24" ht="12.75">
      <c r="A68" s="13">
        <f>_XLL.FECHA.MES(A67,1)</f>
        <v>40558</v>
      </c>
      <c r="B68" s="76">
        <f>DAYS360('CALCULADORA TECH E-3'!$G$8,A68,0)</f>
        <v>1290</v>
      </c>
      <c r="C68" s="77">
        <f>VLOOKUP(A68,'CALCULADORA TECH E-3'!$C$29:$E$112,2,0)</f>
        <v>0</v>
      </c>
      <c r="D68" s="68">
        <f t="shared" si="12"/>
        <v>0</v>
      </c>
      <c r="E68" s="70">
        <f t="shared" si="13"/>
        <v>0</v>
      </c>
      <c r="F68" s="73">
        <f>IF(D67&gt;0.00000000001,D67*'CALCULADORA TECH E-3'!$D$15,0)</f>
        <v>0</v>
      </c>
      <c r="G68" s="71">
        <f t="shared" si="2"/>
        <v>0</v>
      </c>
      <c r="H68" s="71">
        <f>IF($B68&lt;0,0,G68/POWER(1+'CALCULADORA TECH E-3'!$D$14,'Flujos Mensuales'!$B68/$A$3))</f>
        <v>0</v>
      </c>
      <c r="I68" s="71">
        <f>IF(B68&lt;0,0,G68/POWER(1+'CALCULADORA TECH E-3'!$D$21,'Flujos Mensuales'!B68/$A$3))</f>
        <v>0</v>
      </c>
      <c r="J68" s="72">
        <f t="shared" si="8"/>
        <v>0</v>
      </c>
      <c r="K68" s="70">
        <f t="shared" si="3"/>
        <v>0</v>
      </c>
      <c r="L68" s="62"/>
      <c r="M68" s="74">
        <f>VLOOKUP(A68,'CALCULADORA TECH E-3'!$C$29:$E$112,3,0)</f>
        <v>0</v>
      </c>
      <c r="N68" s="68">
        <f>N67-O68</f>
        <v>-8.659739592076221E-15</v>
      </c>
      <c r="O68" s="70">
        <f t="shared" si="6"/>
        <v>0</v>
      </c>
      <c r="P68" s="73">
        <f>IF(N67&gt;0.00000000001,N67*'CALCULADORA TECH E-3'!$E$15,0)</f>
        <v>0</v>
      </c>
      <c r="Q68" s="71">
        <f t="shared" si="4"/>
        <v>0</v>
      </c>
      <c r="R68" s="71">
        <f>IF($B68&lt;0,0,Q68/POWER(1+'CALCULADORA TECH E-3'!$E$14,'Flujos Mensuales'!$B68/$A$3))</f>
        <v>0</v>
      </c>
      <c r="S68" s="71">
        <f>IF($B68&lt;0,0,Q68/POWER(1+'CALCULADORA TECH E-3'!$E$21,'Flujos Mensuales'!$B68/$A$3))</f>
        <v>0</v>
      </c>
      <c r="T68" s="72">
        <f t="shared" si="9"/>
        <v>0</v>
      </c>
      <c r="U68" s="89">
        <f t="shared" si="5"/>
        <v>0</v>
      </c>
      <c r="W68" s="12">
        <v>61</v>
      </c>
      <c r="X68" s="1">
        <f t="shared" si="11"/>
        <v>43</v>
      </c>
    </row>
    <row r="69" spans="1:24" ht="12.75">
      <c r="A69" s="13">
        <f>_XLL.FECHA.MES(A68,1)</f>
        <v>40589</v>
      </c>
      <c r="B69" s="76">
        <f>DAYS360('CALCULADORA TECH E-3'!$G$8,A69,0)</f>
        <v>1320</v>
      </c>
      <c r="C69" s="77">
        <f>VLOOKUP(A69,'CALCULADORA TECH E-3'!$C$29:$E$112,2,0)</f>
        <v>0</v>
      </c>
      <c r="D69" s="68">
        <f t="shared" si="12"/>
        <v>0</v>
      </c>
      <c r="E69" s="70">
        <f t="shared" si="13"/>
        <v>0</v>
      </c>
      <c r="F69" s="73">
        <f>IF(D68&gt;0.00000000001,D68*'CALCULADORA TECH E-3'!$D$15,0)</f>
        <v>0</v>
      </c>
      <c r="G69" s="71">
        <f t="shared" si="2"/>
        <v>0</v>
      </c>
      <c r="H69" s="71">
        <f>IF($B69&lt;0,0,G69/POWER(1+'CALCULADORA TECH E-3'!$D$14,'Flujos Mensuales'!$B69/$A$3))</f>
        <v>0</v>
      </c>
      <c r="I69" s="71">
        <f>IF(B69&lt;0,0,G69/POWER(1+'CALCULADORA TECH E-3'!$D$21,'Flujos Mensuales'!B69/$A$3))</f>
        <v>0</v>
      </c>
      <c r="J69" s="72">
        <f t="shared" si="8"/>
        <v>0</v>
      </c>
      <c r="K69" s="70">
        <f t="shared" si="3"/>
        <v>0</v>
      </c>
      <c r="L69" s="62"/>
      <c r="M69" s="74">
        <f>VLOOKUP(A69,'CALCULADORA TECH E-3'!$C$29:$E$112,3,0)</f>
        <v>0</v>
      </c>
      <c r="N69" s="68">
        <f t="shared" si="7"/>
        <v>-8.659739592076221E-15</v>
      </c>
      <c r="O69" s="70">
        <f t="shared" si="6"/>
        <v>0</v>
      </c>
      <c r="P69" s="73">
        <f>IF(N68&gt;0.00000000001,N68*'CALCULADORA TECH E-3'!$E$15,0)</f>
        <v>0</v>
      </c>
      <c r="Q69" s="71">
        <f t="shared" si="4"/>
        <v>0</v>
      </c>
      <c r="R69" s="71">
        <f>IF($B69&lt;0,0,Q69/POWER(1+'CALCULADORA TECH E-3'!$E$14,'Flujos Mensuales'!$B69/$A$3))</f>
        <v>0</v>
      </c>
      <c r="S69" s="71">
        <f>IF($B69&lt;0,0,Q69/POWER(1+'CALCULADORA TECH E-3'!$E$21,'Flujos Mensuales'!$B69/$A$3))</f>
        <v>0</v>
      </c>
      <c r="T69" s="72">
        <f t="shared" si="9"/>
        <v>0</v>
      </c>
      <c r="U69" s="89">
        <f t="shared" si="5"/>
        <v>0</v>
      </c>
      <c r="W69" s="1">
        <v>62</v>
      </c>
      <c r="X69" s="1">
        <f t="shared" si="11"/>
        <v>44</v>
      </c>
    </row>
    <row r="70" spans="1:24" ht="12.75">
      <c r="A70" s="13">
        <f>_XLL.FECHA.MES(A69,1)</f>
        <v>40617</v>
      </c>
      <c r="B70" s="76">
        <f>DAYS360('CALCULADORA TECH E-3'!$G$8,A70,0)</f>
        <v>1350</v>
      </c>
      <c r="C70" s="77">
        <f>VLOOKUP(A70,'CALCULADORA TECH E-3'!$C$29:$E$112,2,0)</f>
        <v>0</v>
      </c>
      <c r="D70" s="68">
        <f t="shared" si="12"/>
        <v>0</v>
      </c>
      <c r="E70" s="70">
        <f t="shared" si="13"/>
        <v>0</v>
      </c>
      <c r="F70" s="73">
        <f>IF(D69&gt;0.00000000001,D69*'CALCULADORA TECH E-3'!$D$15,0)</f>
        <v>0</v>
      </c>
      <c r="G70" s="71">
        <f t="shared" si="2"/>
        <v>0</v>
      </c>
      <c r="H70" s="71">
        <f>IF($B70&lt;0,0,G70/POWER(1+'CALCULADORA TECH E-3'!$D$14,'Flujos Mensuales'!$B70/$A$3))</f>
        <v>0</v>
      </c>
      <c r="I70" s="71">
        <f>IF(B70&lt;0,0,G70/POWER(1+'CALCULADORA TECH E-3'!$D$21,'Flujos Mensuales'!B70/$A$3))</f>
        <v>0</v>
      </c>
      <c r="J70" s="72">
        <f t="shared" si="8"/>
        <v>0</v>
      </c>
      <c r="K70" s="70">
        <f t="shared" si="3"/>
        <v>0</v>
      </c>
      <c r="L70" s="62"/>
      <c r="M70" s="74">
        <f>VLOOKUP(A70,'CALCULADORA TECH E-3'!$C$29:$E$112,3,0)</f>
        <v>0</v>
      </c>
      <c r="N70" s="68">
        <f t="shared" si="7"/>
        <v>-8.659739592076221E-15</v>
      </c>
      <c r="O70" s="70">
        <f t="shared" si="6"/>
        <v>0</v>
      </c>
      <c r="P70" s="73">
        <f>IF(N69&gt;0.00000000001,N69*'CALCULADORA TECH E-3'!$E$15,0)</f>
        <v>0</v>
      </c>
      <c r="Q70" s="71">
        <f t="shared" si="4"/>
        <v>0</v>
      </c>
      <c r="R70" s="71">
        <f>IF($B70&lt;0,0,Q70/POWER(1+'CALCULADORA TECH E-3'!$E$14,'Flujos Mensuales'!$B70/$A$3))</f>
        <v>0</v>
      </c>
      <c r="S70" s="71">
        <f>IF($B70&lt;0,0,Q70/POWER(1+'CALCULADORA TECH E-3'!$E$21,'Flujos Mensuales'!$B70/$A$3))</f>
        <v>0</v>
      </c>
      <c r="T70" s="72">
        <f t="shared" si="9"/>
        <v>0</v>
      </c>
      <c r="U70" s="89">
        <f t="shared" si="5"/>
        <v>0</v>
      </c>
      <c r="W70" s="1">
        <v>63</v>
      </c>
      <c r="X70" s="1">
        <f t="shared" si="11"/>
        <v>45</v>
      </c>
    </row>
    <row r="71" spans="1:24" ht="12.75">
      <c r="A71" s="13">
        <f>_XLL.FECHA.MES(A70,1)</f>
        <v>40648</v>
      </c>
      <c r="B71" s="76">
        <f>DAYS360('CALCULADORA TECH E-3'!$G$8,A71,0)</f>
        <v>1380</v>
      </c>
      <c r="C71" s="77">
        <f>VLOOKUP(A71,'CALCULADORA TECH E-3'!$C$29:$E$112,2,0)</f>
        <v>0</v>
      </c>
      <c r="D71" s="68">
        <f t="shared" si="12"/>
        <v>0</v>
      </c>
      <c r="E71" s="70">
        <f t="shared" si="13"/>
        <v>0</v>
      </c>
      <c r="F71" s="73">
        <f>IF(D70&gt;0.00000000001,D70*'CALCULADORA TECH E-3'!$D$15,0)</f>
        <v>0</v>
      </c>
      <c r="G71" s="71">
        <f aca="true" t="shared" si="14" ref="G71:G91">IF(B71&lt;1,0,F71+E71)</f>
        <v>0</v>
      </c>
      <c r="H71" s="71">
        <f>IF($B71&lt;0,0,G71/POWER(1+'CALCULADORA TECH E-3'!$D$14,'Flujos Mensuales'!$B71/$A$3))</f>
        <v>0</v>
      </c>
      <c r="I71" s="71">
        <f>IF(B71&lt;0,0,G71/POWER(1+'CALCULADORA TECH E-3'!$D$21,'Flujos Mensuales'!B71/$A$3))</f>
        <v>0</v>
      </c>
      <c r="J71" s="72">
        <f t="shared" si="8"/>
        <v>0</v>
      </c>
      <c r="K71" s="70">
        <f t="shared" si="3"/>
        <v>0</v>
      </c>
      <c r="L71" s="62"/>
      <c r="M71" s="74">
        <f>VLOOKUP(A71,'CALCULADORA TECH E-3'!$C$29:$E$112,3,0)</f>
        <v>0</v>
      </c>
      <c r="N71" s="68">
        <f t="shared" si="7"/>
        <v>-8.659739592076221E-15</v>
      </c>
      <c r="O71" s="70">
        <f t="shared" si="6"/>
        <v>0</v>
      </c>
      <c r="P71" s="73">
        <f>IF(N70&gt;0.00000000001,N70*'CALCULADORA TECH E-3'!$E$15,0)</f>
        <v>0</v>
      </c>
      <c r="Q71" s="71">
        <f t="shared" si="4"/>
        <v>0</v>
      </c>
      <c r="R71" s="71">
        <f>IF($B71&lt;0,0,Q71/POWER(1+'CALCULADORA TECH E-3'!$E$14,'Flujos Mensuales'!$B71/$A$3))</f>
        <v>0</v>
      </c>
      <c r="S71" s="71">
        <f>IF($B71&lt;0,0,Q71/POWER(1+'CALCULADORA TECH E-3'!$E$21,'Flujos Mensuales'!$B71/$A$3))</f>
        <v>0</v>
      </c>
      <c r="T71" s="72">
        <f t="shared" si="9"/>
        <v>0</v>
      </c>
      <c r="U71" s="89">
        <f t="shared" si="5"/>
        <v>0</v>
      </c>
      <c r="W71" s="12">
        <v>64</v>
      </c>
      <c r="X71" s="1">
        <f t="shared" si="11"/>
        <v>46</v>
      </c>
    </row>
    <row r="72" spans="1:24" ht="12.75">
      <c r="A72" s="13">
        <f>_XLL.FECHA.MES(A71,1)</f>
        <v>40678</v>
      </c>
      <c r="B72" s="76">
        <f>DAYS360('CALCULADORA TECH E-3'!$G$8,A72,0)</f>
        <v>1410</v>
      </c>
      <c r="C72" s="77">
        <f>VLOOKUP(A72,'CALCULADORA TECH E-3'!$C$29:$E$112,2,0)</f>
        <v>0</v>
      </c>
      <c r="D72" s="68">
        <f t="shared" si="12"/>
        <v>0</v>
      </c>
      <c r="E72" s="70">
        <f t="shared" si="13"/>
        <v>0</v>
      </c>
      <c r="F72" s="73">
        <f>IF(D71&gt;0.00000000001,D71*'CALCULADORA TECH E-3'!$D$15,0)</f>
        <v>0</v>
      </c>
      <c r="G72" s="71">
        <f t="shared" si="14"/>
        <v>0</v>
      </c>
      <c r="H72" s="71">
        <f>IF($B72&lt;0,0,G72/POWER(1+'CALCULADORA TECH E-3'!$D$14,'Flujos Mensuales'!$B72/$A$3))</f>
        <v>0</v>
      </c>
      <c r="I72" s="71">
        <f>IF(B72&lt;0,0,G72/POWER(1+'CALCULADORA TECH E-3'!$D$21,'Flujos Mensuales'!B72/$A$3))</f>
        <v>0</v>
      </c>
      <c r="J72" s="72">
        <f t="shared" si="8"/>
        <v>0</v>
      </c>
      <c r="K72" s="70">
        <f aca="true" t="shared" si="15" ref="K72:K91">I72*B72</f>
        <v>0</v>
      </c>
      <c r="L72" s="62"/>
      <c r="M72" s="74">
        <f>VLOOKUP(A72,'CALCULADORA TECH E-3'!$C$29:$E$112,3,0)</f>
        <v>0</v>
      </c>
      <c r="N72" s="68">
        <f t="shared" si="7"/>
        <v>-8.659739592076221E-15</v>
      </c>
      <c r="O72" s="70">
        <f t="shared" si="6"/>
        <v>0</v>
      </c>
      <c r="P72" s="73">
        <f>IF(N71&gt;0.00000000001,N71*'CALCULADORA TECH E-3'!$E$15,0)</f>
        <v>0</v>
      </c>
      <c r="Q72" s="71">
        <f aca="true" t="shared" si="16" ref="Q72:Q91">IF(B72&lt;1,0,P72+O72)</f>
        <v>0</v>
      </c>
      <c r="R72" s="71">
        <f>IF($B72&lt;0,0,Q72/POWER(1+'CALCULADORA TECH E-3'!$E$14,'Flujos Mensuales'!$B72/$A$3))</f>
        <v>0</v>
      </c>
      <c r="S72" s="71">
        <f>IF($B72&lt;0,0,Q72/POWER(1+'CALCULADORA TECH E-3'!$E$21,'Flujos Mensuales'!$B72/$A$3))</f>
        <v>0</v>
      </c>
      <c r="T72" s="72">
        <f t="shared" si="9"/>
        <v>0</v>
      </c>
      <c r="U72" s="89">
        <f aca="true" t="shared" si="17" ref="U72:U91">S72*$B72</f>
        <v>0</v>
      </c>
      <c r="W72" s="1">
        <v>65</v>
      </c>
      <c r="X72" s="1">
        <f t="shared" si="11"/>
        <v>47</v>
      </c>
    </row>
    <row r="73" spans="1:24" ht="12.75">
      <c r="A73" s="13">
        <f>_XLL.FECHA.MES(A72,1)</f>
        <v>40709</v>
      </c>
      <c r="B73" s="76">
        <f>DAYS360('CALCULADORA TECH E-3'!$G$8,A73,0)</f>
        <v>1440</v>
      </c>
      <c r="C73" s="77">
        <f>VLOOKUP(A73,'CALCULADORA TECH E-3'!$C$29:$E$112,2,0)</f>
        <v>0</v>
      </c>
      <c r="D73" s="68">
        <f t="shared" si="12"/>
        <v>0</v>
      </c>
      <c r="E73" s="70">
        <f t="shared" si="13"/>
        <v>0</v>
      </c>
      <c r="F73" s="73">
        <f>IF(D72&gt;0.00000000001,D72*'CALCULADORA TECH E-3'!$D$15,0)</f>
        <v>0</v>
      </c>
      <c r="G73" s="71">
        <f t="shared" si="14"/>
        <v>0</v>
      </c>
      <c r="H73" s="71">
        <f>IF($B73&lt;0,0,G73/POWER(1+'CALCULADORA TECH E-3'!$D$14,'Flujos Mensuales'!$B73/$A$3))</f>
        <v>0</v>
      </c>
      <c r="I73" s="71">
        <f>IF(B73&lt;0,0,G73/POWER(1+'CALCULADORA TECH E-3'!$D$21,'Flujos Mensuales'!B73/$A$3))</f>
        <v>0</v>
      </c>
      <c r="J73" s="72">
        <f t="shared" si="8"/>
        <v>0</v>
      </c>
      <c r="K73" s="70">
        <f t="shared" si="15"/>
        <v>0</v>
      </c>
      <c r="L73" s="62"/>
      <c r="M73" s="74">
        <f>VLOOKUP(A73,'CALCULADORA TECH E-3'!$C$29:$E$112,3,0)</f>
        <v>0</v>
      </c>
      <c r="N73" s="68">
        <f t="shared" si="7"/>
        <v>-8.659739592076221E-15</v>
      </c>
      <c r="O73" s="70">
        <f aca="true" t="shared" si="18" ref="O73:O91">M73*$A$1</f>
        <v>0</v>
      </c>
      <c r="P73" s="73">
        <f>IF(N72&gt;0.00000000001,N72*'CALCULADORA TECH E-3'!$E$15,0)</f>
        <v>0</v>
      </c>
      <c r="Q73" s="71">
        <f t="shared" si="16"/>
        <v>0</v>
      </c>
      <c r="R73" s="71">
        <f>IF($B73&lt;0,0,Q73/POWER(1+'CALCULADORA TECH E-3'!$E$14,'Flujos Mensuales'!$B73/$A$3))</f>
        <v>0</v>
      </c>
      <c r="S73" s="71">
        <f>IF($B73&lt;0,0,Q73/POWER(1+'CALCULADORA TECH E-3'!$E$21,'Flujos Mensuales'!$B73/$A$3))</f>
        <v>0</v>
      </c>
      <c r="T73" s="72">
        <f t="shared" si="9"/>
        <v>0</v>
      </c>
      <c r="U73" s="89">
        <f t="shared" si="17"/>
        <v>0</v>
      </c>
      <c r="W73" s="1">
        <v>66</v>
      </c>
      <c r="X73" s="1">
        <f t="shared" si="11"/>
        <v>48</v>
      </c>
    </row>
    <row r="74" spans="1:24" ht="12.75">
      <c r="A74" s="13">
        <f>_XLL.FECHA.MES(A73,1)</f>
        <v>40739</v>
      </c>
      <c r="B74" s="76">
        <f>DAYS360('CALCULADORA TECH E-3'!$G$8,A74,0)</f>
        <v>1470</v>
      </c>
      <c r="C74" s="77">
        <f>VLOOKUP(A74,'CALCULADORA TECH E-3'!$C$29:$E$112,2,0)</f>
        <v>0</v>
      </c>
      <c r="D74" s="68">
        <f t="shared" si="12"/>
        <v>0</v>
      </c>
      <c r="E74" s="70">
        <f aca="true" t="shared" si="19" ref="E74:E91">C74*$A$1</f>
        <v>0</v>
      </c>
      <c r="F74" s="73">
        <f>IF(D73&gt;0.00000000001,D73*'CALCULADORA TECH E-3'!$D$15,0)</f>
        <v>0</v>
      </c>
      <c r="G74" s="71">
        <f t="shared" si="14"/>
        <v>0</v>
      </c>
      <c r="H74" s="71">
        <f>IF($B74&lt;0,0,G74/POWER(1+'CALCULADORA TECH E-3'!$D$14,'Flujos Mensuales'!$B74/$A$3))</f>
        <v>0</v>
      </c>
      <c r="I74" s="71">
        <f>IF(B74&lt;0,0,G74/POWER(1+'CALCULADORA TECH E-3'!$D$21,'Flujos Mensuales'!B74/$A$3))</f>
        <v>0</v>
      </c>
      <c r="J74" s="72">
        <f t="shared" si="8"/>
        <v>0</v>
      </c>
      <c r="K74" s="70">
        <f t="shared" si="15"/>
        <v>0</v>
      </c>
      <c r="L74" s="62"/>
      <c r="M74" s="74">
        <f>VLOOKUP(A74,'CALCULADORA TECH E-3'!$C$29:$E$112,3,0)</f>
        <v>0</v>
      </c>
      <c r="N74" s="68">
        <f aca="true" t="shared" si="20" ref="N74:N91">N73-O74</f>
        <v>-8.659739592076221E-15</v>
      </c>
      <c r="O74" s="70">
        <f t="shared" si="18"/>
        <v>0</v>
      </c>
      <c r="P74" s="73">
        <f>IF(N73&gt;0.00000000001,N73*'CALCULADORA TECH E-3'!$E$15,0)</f>
        <v>0</v>
      </c>
      <c r="Q74" s="71">
        <f t="shared" si="16"/>
        <v>0</v>
      </c>
      <c r="R74" s="71">
        <f>IF($B74&lt;0,0,Q74/POWER(1+'CALCULADORA TECH E-3'!$E$14,'Flujos Mensuales'!$B74/$A$3))</f>
        <v>0</v>
      </c>
      <c r="S74" s="71">
        <f>IF($B74&lt;0,0,Q74/POWER(1+'CALCULADORA TECH E-3'!$E$21,'Flujos Mensuales'!$B74/$A$3))</f>
        <v>0</v>
      </c>
      <c r="T74" s="72">
        <f t="shared" si="9"/>
        <v>0</v>
      </c>
      <c r="U74" s="89">
        <f t="shared" si="17"/>
        <v>0</v>
      </c>
      <c r="W74" s="12">
        <v>67</v>
      </c>
      <c r="X74" s="1">
        <f t="shared" si="11"/>
        <v>49</v>
      </c>
    </row>
    <row r="75" spans="1:24" ht="12.75">
      <c r="A75" s="13">
        <f>_XLL.FECHA.MES(A74,1)</f>
        <v>40770</v>
      </c>
      <c r="B75" s="76">
        <f>DAYS360('CALCULADORA TECH E-3'!$G$8,A75,0)</f>
        <v>1500</v>
      </c>
      <c r="C75" s="77">
        <f>VLOOKUP(A75,'CALCULADORA TECH E-3'!$C$29:$E$112,2,0)</f>
        <v>0</v>
      </c>
      <c r="D75" s="68">
        <f aca="true" t="shared" si="21" ref="D75:D91">D74-E75</f>
        <v>0</v>
      </c>
      <c r="E75" s="70">
        <f t="shared" si="19"/>
        <v>0</v>
      </c>
      <c r="F75" s="73">
        <f>IF(D74&gt;0.00000000001,D74*'CALCULADORA TECH E-3'!$D$15,0)</f>
        <v>0</v>
      </c>
      <c r="G75" s="71">
        <f t="shared" si="14"/>
        <v>0</v>
      </c>
      <c r="H75" s="71">
        <f>IF($B75&lt;0,0,G75/POWER(1+'CALCULADORA TECH E-3'!$D$14,'Flujos Mensuales'!$B75/$A$3))</f>
        <v>0</v>
      </c>
      <c r="I75" s="71">
        <f>IF(B75&lt;0,0,G75/POWER(1+'CALCULADORA TECH E-3'!$D$21,'Flujos Mensuales'!B75/$A$3))</f>
        <v>0</v>
      </c>
      <c r="J75" s="72">
        <f aca="true" t="shared" si="22" ref="J75:J90">ROUND(F76/30,4)</f>
        <v>0</v>
      </c>
      <c r="K75" s="70">
        <f t="shared" si="15"/>
        <v>0</v>
      </c>
      <c r="L75" s="62"/>
      <c r="M75" s="74">
        <f>VLOOKUP(A75,'CALCULADORA TECH E-3'!$C$29:$E$112,3,0)</f>
        <v>0</v>
      </c>
      <c r="N75" s="68">
        <f t="shared" si="20"/>
        <v>-8.659739592076221E-15</v>
      </c>
      <c r="O75" s="70">
        <f t="shared" si="18"/>
        <v>0</v>
      </c>
      <c r="P75" s="73">
        <f>IF(N74&gt;0.00000000001,N74*'CALCULADORA TECH E-3'!$E$15,0)</f>
        <v>0</v>
      </c>
      <c r="Q75" s="71">
        <f t="shared" si="16"/>
        <v>0</v>
      </c>
      <c r="R75" s="71">
        <f>IF($B75&lt;0,0,Q75/POWER(1+'CALCULADORA TECH E-3'!$E$14,'Flujos Mensuales'!$B75/$A$3))</f>
        <v>0</v>
      </c>
      <c r="S75" s="71">
        <f>IF($B75&lt;0,0,Q75/POWER(1+'CALCULADORA TECH E-3'!$E$21,'Flujos Mensuales'!$B75/$A$3))</f>
        <v>0</v>
      </c>
      <c r="T75" s="72">
        <f aca="true" t="shared" si="23" ref="T75:T90">ROUND(P76/30,4)</f>
        <v>0</v>
      </c>
      <c r="U75" s="89">
        <f t="shared" si="17"/>
        <v>0</v>
      </c>
      <c r="W75" s="1">
        <v>68</v>
      </c>
      <c r="X75" s="1">
        <f t="shared" si="11"/>
        <v>50</v>
      </c>
    </row>
    <row r="76" spans="1:24" ht="12.75">
      <c r="A76" s="13">
        <f>_XLL.FECHA.MES(A75,1)</f>
        <v>40801</v>
      </c>
      <c r="B76" s="76">
        <f>DAYS360('CALCULADORA TECH E-3'!$G$8,A76,0)</f>
        <v>1530</v>
      </c>
      <c r="C76" s="77">
        <f>VLOOKUP(A76,'CALCULADORA TECH E-3'!$C$29:$E$112,2,0)</f>
        <v>0</v>
      </c>
      <c r="D76" s="68">
        <f t="shared" si="21"/>
        <v>0</v>
      </c>
      <c r="E76" s="70">
        <f t="shared" si="19"/>
        <v>0</v>
      </c>
      <c r="F76" s="73">
        <f>IF(D75&gt;0.00000000001,D75*'CALCULADORA TECH E-3'!$D$15,0)</f>
        <v>0</v>
      </c>
      <c r="G76" s="71">
        <f t="shared" si="14"/>
        <v>0</v>
      </c>
      <c r="H76" s="71">
        <f>IF($B76&lt;0,0,G76/POWER(1+'CALCULADORA TECH E-3'!$D$14,'Flujos Mensuales'!$B76/$A$3))</f>
        <v>0</v>
      </c>
      <c r="I76" s="71">
        <f>IF(B76&lt;0,0,G76/POWER(1+'CALCULADORA TECH E-3'!$D$21,'Flujos Mensuales'!B76/$A$3))</f>
        <v>0</v>
      </c>
      <c r="J76" s="72">
        <f t="shared" si="22"/>
        <v>0</v>
      </c>
      <c r="K76" s="70">
        <f t="shared" si="15"/>
        <v>0</v>
      </c>
      <c r="L76" s="62"/>
      <c r="M76" s="74">
        <f>VLOOKUP(A76,'CALCULADORA TECH E-3'!$C$29:$E$112,3,0)</f>
        <v>0</v>
      </c>
      <c r="N76" s="68">
        <f t="shared" si="20"/>
        <v>-8.659739592076221E-15</v>
      </c>
      <c r="O76" s="70">
        <f t="shared" si="18"/>
        <v>0</v>
      </c>
      <c r="P76" s="73">
        <f>IF(N75&gt;0.00000000001,N75*'CALCULADORA TECH E-3'!$E$15,0)</f>
        <v>0</v>
      </c>
      <c r="Q76" s="71">
        <f t="shared" si="16"/>
        <v>0</v>
      </c>
      <c r="R76" s="71">
        <f>IF($B76&lt;0,0,Q76/POWER(1+'CALCULADORA TECH E-3'!$E$14,'Flujos Mensuales'!$B76/$A$3))</f>
        <v>0</v>
      </c>
      <c r="S76" s="71">
        <f>IF($B76&lt;0,0,Q76/POWER(1+'CALCULADORA TECH E-3'!$E$21,'Flujos Mensuales'!$B76/$A$3))</f>
        <v>0</v>
      </c>
      <c r="T76" s="72">
        <f t="shared" si="23"/>
        <v>0</v>
      </c>
      <c r="U76" s="89">
        <f t="shared" si="17"/>
        <v>0</v>
      </c>
      <c r="W76" s="1">
        <v>69</v>
      </c>
      <c r="X76" s="1">
        <f t="shared" si="11"/>
        <v>51</v>
      </c>
    </row>
    <row r="77" spans="1:24" ht="12.75">
      <c r="A77" s="13">
        <f>_XLL.FECHA.MES(A76,1)</f>
        <v>40831</v>
      </c>
      <c r="B77" s="76">
        <f>DAYS360('CALCULADORA TECH E-3'!$G$8,A77,0)</f>
        <v>1560</v>
      </c>
      <c r="C77" s="77">
        <f>VLOOKUP(A77,'CALCULADORA TECH E-3'!$C$29:$E$112,2,0)</f>
        <v>0</v>
      </c>
      <c r="D77" s="68">
        <f t="shared" si="21"/>
        <v>0</v>
      </c>
      <c r="E77" s="70">
        <f t="shared" si="19"/>
        <v>0</v>
      </c>
      <c r="F77" s="73">
        <f>IF(D76&gt;0.00000000001,D76*'CALCULADORA TECH E-3'!$D$15,0)</f>
        <v>0</v>
      </c>
      <c r="G77" s="71">
        <f t="shared" si="14"/>
        <v>0</v>
      </c>
      <c r="H77" s="71">
        <f>IF($B77&lt;0,0,G77/POWER(1+'CALCULADORA TECH E-3'!$D$14,'Flujos Mensuales'!$B77/$A$3))</f>
        <v>0</v>
      </c>
      <c r="I77" s="71">
        <f>IF(B77&lt;0,0,G77/POWER(1+'CALCULADORA TECH E-3'!$D$21,'Flujos Mensuales'!B77/$A$3))</f>
        <v>0</v>
      </c>
      <c r="J77" s="72">
        <f t="shared" si="22"/>
        <v>0</v>
      </c>
      <c r="K77" s="70">
        <f t="shared" si="15"/>
        <v>0</v>
      </c>
      <c r="L77" s="62"/>
      <c r="M77" s="74">
        <f>VLOOKUP(A77,'CALCULADORA TECH E-3'!$C$29:$E$112,3,0)</f>
        <v>0</v>
      </c>
      <c r="N77" s="68">
        <f t="shared" si="20"/>
        <v>-8.659739592076221E-15</v>
      </c>
      <c r="O77" s="70">
        <f t="shared" si="18"/>
        <v>0</v>
      </c>
      <c r="P77" s="73">
        <f>IF(N76&gt;0.00000000001,N76*'CALCULADORA TECH E-3'!$E$15,0)</f>
        <v>0</v>
      </c>
      <c r="Q77" s="71">
        <f t="shared" si="16"/>
        <v>0</v>
      </c>
      <c r="R77" s="71">
        <f>IF($B77&lt;0,0,Q77/POWER(1+'CALCULADORA TECH E-3'!$E$14,'Flujos Mensuales'!$B77/$A$3))</f>
        <v>0</v>
      </c>
      <c r="S77" s="71">
        <f>IF($B77&lt;0,0,Q77/POWER(1+'CALCULADORA TECH E-3'!$E$21,'Flujos Mensuales'!$B77/$A$3))</f>
        <v>0</v>
      </c>
      <c r="T77" s="72">
        <f t="shared" si="23"/>
        <v>0</v>
      </c>
      <c r="U77" s="89">
        <f t="shared" si="17"/>
        <v>0</v>
      </c>
      <c r="W77" s="12">
        <v>70</v>
      </c>
      <c r="X77" s="1">
        <f t="shared" si="11"/>
        <v>52</v>
      </c>
    </row>
    <row r="78" spans="1:24" ht="12.75">
      <c r="A78" s="13">
        <f>_XLL.FECHA.MES(A77,1)</f>
        <v>40862</v>
      </c>
      <c r="B78" s="76">
        <f>DAYS360('CALCULADORA TECH E-3'!$G$8,A78,0)</f>
        <v>1590</v>
      </c>
      <c r="C78" s="77">
        <f>VLOOKUP(A78,'CALCULADORA TECH E-3'!$C$29:$E$112,2,0)</f>
        <v>0</v>
      </c>
      <c r="D78" s="68">
        <f t="shared" si="21"/>
        <v>0</v>
      </c>
      <c r="E78" s="70">
        <f t="shared" si="19"/>
        <v>0</v>
      </c>
      <c r="F78" s="73">
        <f>IF(D77&gt;0.00000000001,D77*'CALCULADORA TECH E-3'!$D$15,0)</f>
        <v>0</v>
      </c>
      <c r="G78" s="71">
        <f t="shared" si="14"/>
        <v>0</v>
      </c>
      <c r="H78" s="71">
        <f>IF($B78&lt;0,0,G78/POWER(1+'CALCULADORA TECH E-3'!$D$14,'Flujos Mensuales'!$B78/$A$3))</f>
        <v>0</v>
      </c>
      <c r="I78" s="71">
        <f>IF(B78&lt;0,0,G78/POWER(1+'CALCULADORA TECH E-3'!$D$21,'Flujos Mensuales'!B78/$A$3))</f>
        <v>0</v>
      </c>
      <c r="J78" s="72">
        <f t="shared" si="22"/>
        <v>0</v>
      </c>
      <c r="K78" s="70">
        <f t="shared" si="15"/>
        <v>0</v>
      </c>
      <c r="L78" s="62"/>
      <c r="M78" s="74">
        <f>VLOOKUP(A78,'CALCULADORA TECH E-3'!$C$29:$E$112,3,0)</f>
        <v>0</v>
      </c>
      <c r="N78" s="68">
        <f t="shared" si="20"/>
        <v>-8.659739592076221E-15</v>
      </c>
      <c r="O78" s="70">
        <f t="shared" si="18"/>
        <v>0</v>
      </c>
      <c r="P78" s="73">
        <f>IF(N77&gt;0.00000000001,N77*'CALCULADORA TECH E-3'!$E$15,0)</f>
        <v>0</v>
      </c>
      <c r="Q78" s="71">
        <f t="shared" si="16"/>
        <v>0</v>
      </c>
      <c r="R78" s="71">
        <f>IF($B78&lt;0,0,Q78/POWER(1+'CALCULADORA TECH E-3'!$E$14,'Flujos Mensuales'!$B78/$A$3))</f>
        <v>0</v>
      </c>
      <c r="S78" s="71">
        <f>IF($B78&lt;0,0,Q78/POWER(1+'CALCULADORA TECH E-3'!$E$21,'Flujos Mensuales'!$B78/$A$3))</f>
        <v>0</v>
      </c>
      <c r="T78" s="72">
        <f t="shared" si="23"/>
        <v>0</v>
      </c>
      <c r="U78" s="89">
        <f t="shared" si="17"/>
        <v>0</v>
      </c>
      <c r="W78" s="1">
        <v>71</v>
      </c>
      <c r="X78" s="1">
        <f t="shared" si="11"/>
        <v>53</v>
      </c>
    </row>
    <row r="79" spans="1:24" ht="12.75">
      <c r="A79" s="13">
        <f>_XLL.FECHA.MES(A78,1)</f>
        <v>40892</v>
      </c>
      <c r="B79" s="76">
        <f>DAYS360('CALCULADORA TECH E-3'!$G$8,A79,0)</f>
        <v>1620</v>
      </c>
      <c r="C79" s="77">
        <f>VLOOKUP(A79,'CALCULADORA TECH E-3'!$C$29:$E$112,2,0)</f>
        <v>0</v>
      </c>
      <c r="D79" s="68">
        <f t="shared" si="21"/>
        <v>0</v>
      </c>
      <c r="E79" s="70">
        <f t="shared" si="19"/>
        <v>0</v>
      </c>
      <c r="F79" s="73">
        <f>IF(D78&gt;0.00000000001,D78*'CALCULADORA TECH E-3'!$D$15,0)</f>
        <v>0</v>
      </c>
      <c r="G79" s="71">
        <f t="shared" si="14"/>
        <v>0</v>
      </c>
      <c r="H79" s="71">
        <f>IF($B79&lt;0,0,G79/POWER(1+'CALCULADORA TECH E-3'!$D$14,'Flujos Mensuales'!$B79/$A$3))</f>
        <v>0</v>
      </c>
      <c r="I79" s="71">
        <f>IF(B79&lt;0,0,G79/POWER(1+'CALCULADORA TECH E-3'!$D$21,'Flujos Mensuales'!B79/$A$3))</f>
        <v>0</v>
      </c>
      <c r="J79" s="72">
        <f t="shared" si="22"/>
        <v>0</v>
      </c>
      <c r="K79" s="70">
        <f t="shared" si="15"/>
        <v>0</v>
      </c>
      <c r="L79" s="62"/>
      <c r="M79" s="74">
        <f>VLOOKUP(A79,'CALCULADORA TECH E-3'!$C$29:$E$112,3,0)</f>
        <v>0</v>
      </c>
      <c r="N79" s="68">
        <f t="shared" si="20"/>
        <v>-8.659739592076221E-15</v>
      </c>
      <c r="O79" s="70">
        <f t="shared" si="18"/>
        <v>0</v>
      </c>
      <c r="P79" s="73">
        <f>IF(N78&gt;0.00000000001,N78*'CALCULADORA TECH E-3'!$E$15,0)</f>
        <v>0</v>
      </c>
      <c r="Q79" s="71">
        <f t="shared" si="16"/>
        <v>0</v>
      </c>
      <c r="R79" s="71">
        <f>IF($B79&lt;0,0,Q79/POWER(1+'CALCULADORA TECH E-3'!$E$14,'Flujos Mensuales'!$B79/$A$3))</f>
        <v>0</v>
      </c>
      <c r="S79" s="71">
        <f>IF($B79&lt;0,0,Q79/POWER(1+'CALCULADORA TECH E-3'!$E$21,'Flujos Mensuales'!$B79/$A$3))</f>
        <v>0</v>
      </c>
      <c r="T79" s="72">
        <f t="shared" si="23"/>
        <v>0</v>
      </c>
      <c r="U79" s="89">
        <f t="shared" si="17"/>
        <v>0</v>
      </c>
      <c r="W79" s="1">
        <v>72</v>
      </c>
      <c r="X79" s="1">
        <f t="shared" si="11"/>
        <v>54</v>
      </c>
    </row>
    <row r="80" spans="1:24" ht="12.75">
      <c r="A80" s="13">
        <f>_XLL.FECHA.MES(A79,1)</f>
        <v>40923</v>
      </c>
      <c r="B80" s="76">
        <f>DAYS360('CALCULADORA TECH E-3'!$G$8,A80,0)</f>
        <v>1650</v>
      </c>
      <c r="C80" s="77">
        <f>VLOOKUP(A80,'CALCULADORA TECH E-3'!$C$29:$E$112,2,0)</f>
        <v>0</v>
      </c>
      <c r="D80" s="68">
        <f t="shared" si="21"/>
        <v>0</v>
      </c>
      <c r="E80" s="70">
        <f t="shared" si="19"/>
        <v>0</v>
      </c>
      <c r="F80" s="73">
        <f>IF(D79&gt;0.00000000001,D79*'CALCULADORA TECH E-3'!$D$15,0)</f>
        <v>0</v>
      </c>
      <c r="G80" s="71">
        <f t="shared" si="14"/>
        <v>0</v>
      </c>
      <c r="H80" s="71">
        <f>IF($B80&lt;0,0,G80/POWER(1+'CALCULADORA TECH E-3'!$D$14,'Flujos Mensuales'!$B80/$A$3))</f>
        <v>0</v>
      </c>
      <c r="I80" s="71">
        <f>IF(B80&lt;0,0,G80/POWER(1+'CALCULADORA TECH E-3'!$D$21,'Flujos Mensuales'!B80/$A$3))</f>
        <v>0</v>
      </c>
      <c r="J80" s="72">
        <f t="shared" si="22"/>
        <v>0</v>
      </c>
      <c r="K80" s="70">
        <f t="shared" si="15"/>
        <v>0</v>
      </c>
      <c r="L80" s="62"/>
      <c r="M80" s="74">
        <f>VLOOKUP(A80,'CALCULADORA TECH E-3'!$C$29:$E$112,3,0)</f>
        <v>0</v>
      </c>
      <c r="N80" s="68">
        <f t="shared" si="20"/>
        <v>-8.659739592076221E-15</v>
      </c>
      <c r="O80" s="70">
        <f t="shared" si="18"/>
        <v>0</v>
      </c>
      <c r="P80" s="73">
        <f>IF(N79&gt;0.00000000001,N79*'CALCULADORA TECH E-3'!$E$15,0)</f>
        <v>0</v>
      </c>
      <c r="Q80" s="71">
        <f t="shared" si="16"/>
        <v>0</v>
      </c>
      <c r="R80" s="71">
        <f>IF($B80&lt;0,0,Q80/POWER(1+'CALCULADORA TECH E-3'!$E$14,'Flujos Mensuales'!$B80/$A$3))</f>
        <v>0</v>
      </c>
      <c r="S80" s="71">
        <f>IF($B80&lt;0,0,Q80/POWER(1+'CALCULADORA TECH E-3'!$E$21,'Flujos Mensuales'!$B80/$A$3))</f>
        <v>0</v>
      </c>
      <c r="T80" s="72">
        <f t="shared" si="23"/>
        <v>0</v>
      </c>
      <c r="U80" s="89">
        <f t="shared" si="17"/>
        <v>0</v>
      </c>
      <c r="W80" s="12">
        <v>73</v>
      </c>
      <c r="X80" s="1">
        <f t="shared" si="11"/>
        <v>55</v>
      </c>
    </row>
    <row r="81" spans="1:24" ht="12.75">
      <c r="A81" s="13">
        <f>_XLL.FECHA.MES(A80,1)</f>
        <v>40954</v>
      </c>
      <c r="B81" s="76">
        <f>DAYS360('CALCULADORA TECH E-3'!$G$8,A81,0)</f>
        <v>1680</v>
      </c>
      <c r="C81" s="77">
        <f>VLOOKUP(A81,'CALCULADORA TECH E-3'!$C$29:$E$112,2,0)</f>
        <v>0</v>
      </c>
      <c r="D81" s="68">
        <f t="shared" si="21"/>
        <v>0</v>
      </c>
      <c r="E81" s="70">
        <f t="shared" si="19"/>
        <v>0</v>
      </c>
      <c r="F81" s="73">
        <f>IF(D80&gt;0.00000000001,D80*'CALCULADORA TECH E-3'!$D$15,0)</f>
        <v>0</v>
      </c>
      <c r="G81" s="71">
        <f t="shared" si="14"/>
        <v>0</v>
      </c>
      <c r="H81" s="71">
        <f>IF($B81&lt;0,0,G81/POWER(1+'CALCULADORA TECH E-3'!$D$14,'Flujos Mensuales'!$B81/$A$3))</f>
        <v>0</v>
      </c>
      <c r="I81" s="71">
        <f>IF(B81&lt;0,0,G81/POWER(1+'CALCULADORA TECH E-3'!$D$21,'Flujos Mensuales'!B81/$A$3))</f>
        <v>0</v>
      </c>
      <c r="J81" s="72">
        <f t="shared" si="22"/>
        <v>0</v>
      </c>
      <c r="K81" s="70">
        <f t="shared" si="15"/>
        <v>0</v>
      </c>
      <c r="L81" s="62"/>
      <c r="M81" s="74">
        <f>VLOOKUP(A81,'CALCULADORA TECH E-3'!$C$29:$E$112,3,0)</f>
        <v>0</v>
      </c>
      <c r="N81" s="68">
        <f t="shared" si="20"/>
        <v>-8.659739592076221E-15</v>
      </c>
      <c r="O81" s="70">
        <f t="shared" si="18"/>
        <v>0</v>
      </c>
      <c r="P81" s="73">
        <f>IF(N80&gt;0.00000000001,N80*'CALCULADORA TECH E-3'!$E$15,0)</f>
        <v>0</v>
      </c>
      <c r="Q81" s="71">
        <f t="shared" si="16"/>
        <v>0</v>
      </c>
      <c r="R81" s="71">
        <f>IF($B81&lt;0,0,Q81/POWER(1+'CALCULADORA TECH E-3'!$E$14,'Flujos Mensuales'!$B81/$A$3))</f>
        <v>0</v>
      </c>
      <c r="S81" s="71">
        <f>IF($B81&lt;0,0,Q81/POWER(1+'CALCULADORA TECH E-3'!$E$21,'Flujos Mensuales'!$B81/$A$3))</f>
        <v>0</v>
      </c>
      <c r="T81" s="72">
        <f t="shared" si="23"/>
        <v>0</v>
      </c>
      <c r="U81" s="89">
        <f t="shared" si="17"/>
        <v>0</v>
      </c>
      <c r="W81" s="1">
        <v>74</v>
      </c>
      <c r="X81" s="1">
        <f aca="true" t="shared" si="24" ref="X81:X91">+X80+1</f>
        <v>56</v>
      </c>
    </row>
    <row r="82" spans="1:24" ht="12.75">
      <c r="A82" s="13">
        <f>_XLL.FECHA.MES(A81,1)</f>
        <v>40983</v>
      </c>
      <c r="B82" s="76">
        <f>DAYS360('CALCULADORA TECH E-3'!$G$8,A82,0)</f>
        <v>1710</v>
      </c>
      <c r="C82" s="77">
        <f>VLOOKUP(A82,'CALCULADORA TECH E-3'!$C$29:$E$112,2,0)</f>
        <v>0</v>
      </c>
      <c r="D82" s="68">
        <f t="shared" si="21"/>
        <v>0</v>
      </c>
      <c r="E82" s="70">
        <f t="shared" si="19"/>
        <v>0</v>
      </c>
      <c r="F82" s="73">
        <f>IF(D81&gt;0.00000000001,D81*'CALCULADORA TECH E-3'!$D$15,0)</f>
        <v>0</v>
      </c>
      <c r="G82" s="71">
        <f t="shared" si="14"/>
        <v>0</v>
      </c>
      <c r="H82" s="71">
        <f>IF($B82&lt;0,0,G82/POWER(1+'CALCULADORA TECH E-3'!$D$14,'Flujos Mensuales'!$B82/$A$3))</f>
        <v>0</v>
      </c>
      <c r="I82" s="71">
        <f>IF(B82&lt;0,0,G82/POWER(1+'CALCULADORA TECH E-3'!$D$21,'Flujos Mensuales'!B82/$A$3))</f>
        <v>0</v>
      </c>
      <c r="J82" s="72">
        <f t="shared" si="22"/>
        <v>0</v>
      </c>
      <c r="K82" s="70">
        <f t="shared" si="15"/>
        <v>0</v>
      </c>
      <c r="L82" s="62"/>
      <c r="M82" s="74">
        <f>VLOOKUP(A82,'CALCULADORA TECH E-3'!$C$29:$E$112,3,0)</f>
        <v>0</v>
      </c>
      <c r="N82" s="68">
        <f t="shared" si="20"/>
        <v>-8.659739592076221E-15</v>
      </c>
      <c r="O82" s="70">
        <f t="shared" si="18"/>
        <v>0</v>
      </c>
      <c r="P82" s="73">
        <f>IF(N81&gt;0.00000000001,N81*'CALCULADORA TECH E-3'!$E$15,0)</f>
        <v>0</v>
      </c>
      <c r="Q82" s="71">
        <f t="shared" si="16"/>
        <v>0</v>
      </c>
      <c r="R82" s="71">
        <f>IF($B82&lt;0,0,Q82/POWER(1+'CALCULADORA TECH E-3'!$E$14,'Flujos Mensuales'!$B82/$A$3))</f>
        <v>0</v>
      </c>
      <c r="S82" s="71">
        <f>IF($B82&lt;0,0,Q82/POWER(1+'CALCULADORA TECH E-3'!$E$21,'Flujos Mensuales'!$B82/$A$3))</f>
        <v>0</v>
      </c>
      <c r="T82" s="72">
        <f t="shared" si="23"/>
        <v>0</v>
      </c>
      <c r="U82" s="89">
        <f t="shared" si="17"/>
        <v>0</v>
      </c>
      <c r="W82" s="1">
        <v>75</v>
      </c>
      <c r="X82" s="1">
        <f t="shared" si="24"/>
        <v>57</v>
      </c>
    </row>
    <row r="83" spans="1:24" ht="12.75">
      <c r="A83" s="13">
        <f>_XLL.FECHA.MES(A82,1)</f>
        <v>41014</v>
      </c>
      <c r="B83" s="76">
        <f>DAYS360('CALCULADORA TECH E-3'!$G$8,A83,0)</f>
        <v>1740</v>
      </c>
      <c r="C83" s="77">
        <f>VLOOKUP(A83,'CALCULADORA TECH E-3'!$C$29:$E$112,2,0)</f>
        <v>0</v>
      </c>
      <c r="D83" s="68">
        <f t="shared" si="21"/>
        <v>0</v>
      </c>
      <c r="E83" s="70">
        <f t="shared" si="19"/>
        <v>0</v>
      </c>
      <c r="F83" s="73">
        <f>IF(D82&gt;0.00000000001,D82*'CALCULADORA TECH E-3'!$D$15,0)</f>
        <v>0</v>
      </c>
      <c r="G83" s="71">
        <f t="shared" si="14"/>
        <v>0</v>
      </c>
      <c r="H83" s="71">
        <f>IF($B83&lt;0,0,G83/POWER(1+'CALCULADORA TECH E-3'!$D$14,'Flujos Mensuales'!$B83/$A$3))</f>
        <v>0</v>
      </c>
      <c r="I83" s="71">
        <f>IF(B83&lt;0,0,G83/POWER(1+'CALCULADORA TECH E-3'!$D$21,'Flujos Mensuales'!B83/$A$3))</f>
        <v>0</v>
      </c>
      <c r="J83" s="72">
        <f t="shared" si="22"/>
        <v>0</v>
      </c>
      <c r="K83" s="70">
        <f t="shared" si="15"/>
        <v>0</v>
      </c>
      <c r="L83" s="62"/>
      <c r="M83" s="74">
        <f>VLOOKUP(A83,'CALCULADORA TECH E-3'!$C$29:$E$112,3,0)</f>
        <v>0</v>
      </c>
      <c r="N83" s="68">
        <f t="shared" si="20"/>
        <v>-8.659739592076221E-15</v>
      </c>
      <c r="O83" s="70">
        <f t="shared" si="18"/>
        <v>0</v>
      </c>
      <c r="P83" s="73">
        <f>IF(N82&gt;0.00000000001,N82*'CALCULADORA TECH E-3'!$E$15,0)</f>
        <v>0</v>
      </c>
      <c r="Q83" s="71">
        <f t="shared" si="16"/>
        <v>0</v>
      </c>
      <c r="R83" s="71">
        <f>IF($B83&lt;0,0,Q83/POWER(1+'CALCULADORA TECH E-3'!$E$14,'Flujos Mensuales'!$B83/$A$3))</f>
        <v>0</v>
      </c>
      <c r="S83" s="71">
        <f>IF($B83&lt;0,0,Q83/POWER(1+'CALCULADORA TECH E-3'!$E$21,'Flujos Mensuales'!$B83/$A$3))</f>
        <v>0</v>
      </c>
      <c r="T83" s="72">
        <f t="shared" si="23"/>
        <v>0</v>
      </c>
      <c r="U83" s="89">
        <f t="shared" si="17"/>
        <v>0</v>
      </c>
      <c r="W83" s="12">
        <v>76</v>
      </c>
      <c r="X83" s="1">
        <f t="shared" si="24"/>
        <v>58</v>
      </c>
    </row>
    <row r="84" spans="1:24" ht="12.75">
      <c r="A84" s="13">
        <f>_XLL.FECHA.MES(A83,1)</f>
        <v>41044</v>
      </c>
      <c r="B84" s="76">
        <f>DAYS360('CALCULADORA TECH E-3'!$G$8,A84,0)</f>
        <v>1770</v>
      </c>
      <c r="C84" s="77">
        <f>VLOOKUP(A84,'CALCULADORA TECH E-3'!$C$29:$E$112,2,0)</f>
        <v>0</v>
      </c>
      <c r="D84" s="68">
        <f t="shared" si="21"/>
        <v>0</v>
      </c>
      <c r="E84" s="70">
        <f t="shared" si="19"/>
        <v>0</v>
      </c>
      <c r="F84" s="73">
        <f>IF(D83&gt;0.00000000001,D83*'CALCULADORA TECH E-3'!$D$15,0)</f>
        <v>0</v>
      </c>
      <c r="G84" s="71">
        <f t="shared" si="14"/>
        <v>0</v>
      </c>
      <c r="H84" s="71">
        <f>IF($B84&lt;0,0,G84/POWER(1+'CALCULADORA TECH E-3'!$D$14,'Flujos Mensuales'!$B84/$A$3))</f>
        <v>0</v>
      </c>
      <c r="I84" s="71">
        <f>IF(B84&lt;0,0,G84/POWER(1+'CALCULADORA TECH E-3'!$D$21,'Flujos Mensuales'!B84/$A$3))</f>
        <v>0</v>
      </c>
      <c r="J84" s="72">
        <f t="shared" si="22"/>
        <v>0</v>
      </c>
      <c r="K84" s="70">
        <f t="shared" si="15"/>
        <v>0</v>
      </c>
      <c r="L84" s="62"/>
      <c r="M84" s="74">
        <f>VLOOKUP(A84,'CALCULADORA TECH E-3'!$C$29:$E$112,3,0)</f>
        <v>0</v>
      </c>
      <c r="N84" s="68">
        <f t="shared" si="20"/>
        <v>-8.659739592076221E-15</v>
      </c>
      <c r="O84" s="70">
        <f t="shared" si="18"/>
        <v>0</v>
      </c>
      <c r="P84" s="73">
        <f>IF(N83&gt;0.00000000001,N83*'CALCULADORA TECH E-3'!$E$15,0)</f>
        <v>0</v>
      </c>
      <c r="Q84" s="71">
        <f t="shared" si="16"/>
        <v>0</v>
      </c>
      <c r="R84" s="71">
        <f>IF($B84&lt;0,0,Q84/POWER(1+'CALCULADORA TECH E-3'!$E$14,'Flujos Mensuales'!$B84/$A$3))</f>
        <v>0</v>
      </c>
      <c r="S84" s="71">
        <f>IF($B84&lt;0,0,Q84/POWER(1+'CALCULADORA TECH E-3'!$E$21,'Flujos Mensuales'!$B84/$A$3))</f>
        <v>0</v>
      </c>
      <c r="T84" s="72">
        <f t="shared" si="23"/>
        <v>0</v>
      </c>
      <c r="U84" s="89">
        <f t="shared" si="17"/>
        <v>0</v>
      </c>
      <c r="W84" s="1">
        <v>77</v>
      </c>
      <c r="X84" s="1">
        <f t="shared" si="24"/>
        <v>59</v>
      </c>
    </row>
    <row r="85" spans="1:24" ht="12.75">
      <c r="A85" s="13">
        <f>_XLL.FECHA.MES(A84,1)</f>
        <v>41075</v>
      </c>
      <c r="B85" s="76">
        <f>DAYS360('CALCULADORA TECH E-3'!$G$8,A85,0)</f>
        <v>1800</v>
      </c>
      <c r="C85" s="77">
        <f>VLOOKUP(A85,'CALCULADORA TECH E-3'!$C$29:$E$112,2,0)</f>
        <v>0</v>
      </c>
      <c r="D85" s="68">
        <f t="shared" si="21"/>
        <v>0</v>
      </c>
      <c r="E85" s="70">
        <f t="shared" si="19"/>
        <v>0</v>
      </c>
      <c r="F85" s="73">
        <f>IF(D84&gt;0.00000000001,D84*'CALCULADORA TECH E-3'!$D$15,0)</f>
        <v>0</v>
      </c>
      <c r="G85" s="71">
        <f t="shared" si="14"/>
        <v>0</v>
      </c>
      <c r="H85" s="71">
        <f>IF($B85&lt;0,0,G85/POWER(1+'CALCULADORA TECH E-3'!$D$14,'Flujos Mensuales'!$B85/$A$3))</f>
        <v>0</v>
      </c>
      <c r="I85" s="71">
        <f>IF(B85&lt;0,0,G85/POWER(1+'CALCULADORA TECH E-3'!$D$21,'Flujos Mensuales'!B85/$A$3))</f>
        <v>0</v>
      </c>
      <c r="J85" s="72">
        <f t="shared" si="22"/>
        <v>0</v>
      </c>
      <c r="K85" s="70">
        <f t="shared" si="15"/>
        <v>0</v>
      </c>
      <c r="L85" s="62"/>
      <c r="M85" s="74">
        <f>VLOOKUP(A85,'CALCULADORA TECH E-3'!$C$29:$E$112,3,0)</f>
        <v>0</v>
      </c>
      <c r="N85" s="68">
        <f t="shared" si="20"/>
        <v>-8.659739592076221E-15</v>
      </c>
      <c r="O85" s="70">
        <f t="shared" si="18"/>
        <v>0</v>
      </c>
      <c r="P85" s="73">
        <f>IF(N84&gt;0.00000000001,N84*'CALCULADORA TECH E-3'!$E$15,0)</f>
        <v>0</v>
      </c>
      <c r="Q85" s="71">
        <f t="shared" si="16"/>
        <v>0</v>
      </c>
      <c r="R85" s="71">
        <f>IF($B85&lt;0,0,Q85/POWER(1+'CALCULADORA TECH E-3'!$E$14,'Flujos Mensuales'!$B85/$A$3))</f>
        <v>0</v>
      </c>
      <c r="S85" s="71">
        <f>IF($B85&lt;0,0,Q85/POWER(1+'CALCULADORA TECH E-3'!$E$21,'Flujos Mensuales'!$B85/$A$3))</f>
        <v>0</v>
      </c>
      <c r="T85" s="72">
        <f t="shared" si="23"/>
        <v>0</v>
      </c>
      <c r="U85" s="89">
        <f t="shared" si="17"/>
        <v>0</v>
      </c>
      <c r="W85" s="1">
        <v>78</v>
      </c>
      <c r="X85" s="1">
        <f t="shared" si="24"/>
        <v>60</v>
      </c>
    </row>
    <row r="86" spans="1:24" ht="12.75">
      <c r="A86" s="13">
        <f>_XLL.FECHA.MES(A85,1)</f>
        <v>41105</v>
      </c>
      <c r="B86" s="76">
        <f>DAYS360('CALCULADORA TECH E-3'!$G$8,A86,0)</f>
        <v>1830</v>
      </c>
      <c r="C86" s="77">
        <f>VLOOKUP(A86,'CALCULADORA TECH E-3'!$C$29:$E$112,2,0)</f>
        <v>0</v>
      </c>
      <c r="D86" s="68">
        <f t="shared" si="21"/>
        <v>0</v>
      </c>
      <c r="E86" s="70">
        <f t="shared" si="19"/>
        <v>0</v>
      </c>
      <c r="F86" s="73">
        <f>IF(D85&gt;0.00000000001,D85*'CALCULADORA TECH E-3'!$D$15,0)</f>
        <v>0</v>
      </c>
      <c r="G86" s="71">
        <f t="shared" si="14"/>
        <v>0</v>
      </c>
      <c r="H86" s="71">
        <f>IF($B86&lt;0,0,G86/POWER(1+'CALCULADORA TECH E-3'!$D$14,'Flujos Mensuales'!$B86/$A$3))</f>
        <v>0</v>
      </c>
      <c r="I86" s="71">
        <f>IF(B86&lt;0,0,G86/POWER(1+'CALCULADORA TECH E-3'!$D$21,'Flujos Mensuales'!B86/$A$3))</f>
        <v>0</v>
      </c>
      <c r="J86" s="72">
        <f t="shared" si="22"/>
        <v>0</v>
      </c>
      <c r="K86" s="70">
        <f t="shared" si="15"/>
        <v>0</v>
      </c>
      <c r="L86" s="62"/>
      <c r="M86" s="74">
        <f>VLOOKUP(A86,'CALCULADORA TECH E-3'!$C$29:$E$112,3,0)</f>
        <v>0</v>
      </c>
      <c r="N86" s="68">
        <f t="shared" si="20"/>
        <v>-8.659739592076221E-15</v>
      </c>
      <c r="O86" s="70">
        <f t="shared" si="18"/>
        <v>0</v>
      </c>
      <c r="P86" s="73">
        <f>IF(N85&gt;0.00000000001,N85*'CALCULADORA TECH E-3'!$E$15,0)</f>
        <v>0</v>
      </c>
      <c r="Q86" s="71">
        <f t="shared" si="16"/>
        <v>0</v>
      </c>
      <c r="R86" s="71">
        <f>IF($B86&lt;0,0,Q86/POWER(1+'CALCULADORA TECH E-3'!$E$14,'Flujos Mensuales'!$B86/$A$3))</f>
        <v>0</v>
      </c>
      <c r="S86" s="71">
        <f>IF($B86&lt;0,0,Q86/POWER(1+'CALCULADORA TECH E-3'!$E$21,'Flujos Mensuales'!$B86/$A$3))</f>
        <v>0</v>
      </c>
      <c r="T86" s="72">
        <f t="shared" si="23"/>
        <v>0</v>
      </c>
      <c r="U86" s="89">
        <f t="shared" si="17"/>
        <v>0</v>
      </c>
      <c r="W86" s="12">
        <v>79</v>
      </c>
      <c r="X86" s="1">
        <f t="shared" si="24"/>
        <v>61</v>
      </c>
    </row>
    <row r="87" spans="1:24" ht="12.75">
      <c r="A87" s="13">
        <f>_XLL.FECHA.MES(A86,1)</f>
        <v>41136</v>
      </c>
      <c r="B87" s="76">
        <f>DAYS360('CALCULADORA TECH E-3'!$G$8,A87,0)</f>
        <v>1860</v>
      </c>
      <c r="C87" s="77">
        <f>VLOOKUP(A87,'CALCULADORA TECH E-3'!$C$29:$E$112,2,0)</f>
        <v>0</v>
      </c>
      <c r="D87" s="68">
        <f t="shared" si="21"/>
        <v>0</v>
      </c>
      <c r="E87" s="70">
        <f t="shared" si="19"/>
        <v>0</v>
      </c>
      <c r="F87" s="73">
        <f>IF(D86&gt;0.00000000001,D86*'CALCULADORA TECH E-3'!$D$15,0)</f>
        <v>0</v>
      </c>
      <c r="G87" s="71">
        <f t="shared" si="14"/>
        <v>0</v>
      </c>
      <c r="H87" s="71">
        <f>IF($B87&lt;0,0,G87/POWER(1+'CALCULADORA TECH E-3'!$D$14,'Flujos Mensuales'!$B87/$A$3))</f>
        <v>0</v>
      </c>
      <c r="I87" s="71">
        <f>IF(B87&lt;0,0,G87/POWER(1+'CALCULADORA TECH E-3'!$D$21,'Flujos Mensuales'!B87/$A$3))</f>
        <v>0</v>
      </c>
      <c r="J87" s="72">
        <f t="shared" si="22"/>
        <v>0</v>
      </c>
      <c r="K87" s="70">
        <f t="shared" si="15"/>
        <v>0</v>
      </c>
      <c r="L87" s="62"/>
      <c r="M87" s="74">
        <f>VLOOKUP(A87,'CALCULADORA TECH E-3'!$C$29:$E$112,3,0)</f>
        <v>0</v>
      </c>
      <c r="N87" s="68">
        <f t="shared" si="20"/>
        <v>-8.659739592076221E-15</v>
      </c>
      <c r="O87" s="70">
        <f t="shared" si="18"/>
        <v>0</v>
      </c>
      <c r="P87" s="73">
        <f>IF(N86&gt;0.00000000001,N86*'CALCULADORA TECH E-3'!$E$15,0)</f>
        <v>0</v>
      </c>
      <c r="Q87" s="71">
        <f t="shared" si="16"/>
        <v>0</v>
      </c>
      <c r="R87" s="71">
        <f>IF($B87&lt;0,0,Q87/POWER(1+'CALCULADORA TECH E-3'!$E$14,'Flujos Mensuales'!$B87/$A$3))</f>
        <v>0</v>
      </c>
      <c r="S87" s="71">
        <f>IF($B87&lt;0,0,Q87/POWER(1+'CALCULADORA TECH E-3'!$E$21,'Flujos Mensuales'!$B87/$A$3))</f>
        <v>0</v>
      </c>
      <c r="T87" s="72">
        <f t="shared" si="23"/>
        <v>0</v>
      </c>
      <c r="U87" s="89">
        <f t="shared" si="17"/>
        <v>0</v>
      </c>
      <c r="W87" s="1">
        <v>80</v>
      </c>
      <c r="X87" s="1">
        <f t="shared" si="24"/>
        <v>62</v>
      </c>
    </row>
    <row r="88" spans="1:24" ht="12.75">
      <c r="A88" s="13">
        <f>_XLL.FECHA.MES(A87,1)</f>
        <v>41167</v>
      </c>
      <c r="B88" s="76">
        <f>DAYS360('CALCULADORA TECH E-3'!$G$8,A88,0)</f>
        <v>1890</v>
      </c>
      <c r="C88" s="77">
        <f>VLOOKUP(A88,'CALCULADORA TECH E-3'!$C$29:$E$112,2,0)</f>
        <v>0</v>
      </c>
      <c r="D88" s="68">
        <f t="shared" si="21"/>
        <v>0</v>
      </c>
      <c r="E88" s="70">
        <f t="shared" si="19"/>
        <v>0</v>
      </c>
      <c r="F88" s="73">
        <f>IF(D87&gt;0.00000000001,D87*'CALCULADORA TECH E-3'!$D$15,0)</f>
        <v>0</v>
      </c>
      <c r="G88" s="71">
        <f t="shared" si="14"/>
        <v>0</v>
      </c>
      <c r="H88" s="71">
        <f>IF($B88&lt;0,0,G88/POWER(1+'CALCULADORA TECH E-3'!$D$14,'Flujos Mensuales'!$B88/$A$3))</f>
        <v>0</v>
      </c>
      <c r="I88" s="71">
        <f>IF(B88&lt;0,0,G88/POWER(1+'CALCULADORA TECH E-3'!$D$21,'Flujos Mensuales'!B88/$A$3))</f>
        <v>0</v>
      </c>
      <c r="J88" s="72">
        <f t="shared" si="22"/>
        <v>0</v>
      </c>
      <c r="K88" s="70">
        <f t="shared" si="15"/>
        <v>0</v>
      </c>
      <c r="L88" s="62"/>
      <c r="M88" s="74">
        <f>VLOOKUP(A88,'CALCULADORA TECH E-3'!$C$29:$E$112,3,0)</f>
        <v>0</v>
      </c>
      <c r="N88" s="68">
        <f t="shared" si="20"/>
        <v>-8.659739592076221E-15</v>
      </c>
      <c r="O88" s="70">
        <f t="shared" si="18"/>
        <v>0</v>
      </c>
      <c r="P88" s="73">
        <f>IF(N87&gt;0.00000000001,N87*'CALCULADORA TECH E-3'!$E$15,0)</f>
        <v>0</v>
      </c>
      <c r="Q88" s="71">
        <f t="shared" si="16"/>
        <v>0</v>
      </c>
      <c r="R88" s="71">
        <f>IF($B88&lt;0,0,Q88/POWER(1+'CALCULADORA TECH E-3'!$E$14,'Flujos Mensuales'!$B88/$A$3))</f>
        <v>0</v>
      </c>
      <c r="S88" s="71">
        <f>IF($B88&lt;0,0,Q88/POWER(1+'CALCULADORA TECH E-3'!$E$21,'Flujos Mensuales'!$B88/$A$3))</f>
        <v>0</v>
      </c>
      <c r="T88" s="72">
        <f t="shared" si="23"/>
        <v>0</v>
      </c>
      <c r="U88" s="89">
        <f t="shared" si="17"/>
        <v>0</v>
      </c>
      <c r="W88" s="1">
        <v>81</v>
      </c>
      <c r="X88" s="1">
        <f t="shared" si="24"/>
        <v>63</v>
      </c>
    </row>
    <row r="89" spans="1:24" ht="12.75">
      <c r="A89" s="13">
        <f>_XLL.FECHA.MES(A88,1)</f>
        <v>41197</v>
      </c>
      <c r="B89" s="76">
        <f>DAYS360('CALCULADORA TECH E-3'!$G$8,A89,0)</f>
        <v>1920</v>
      </c>
      <c r="C89" s="77">
        <f>VLOOKUP(A89,'CALCULADORA TECH E-3'!$C$29:$E$112,2,0)</f>
        <v>0</v>
      </c>
      <c r="D89" s="68">
        <f t="shared" si="21"/>
        <v>0</v>
      </c>
      <c r="E89" s="70">
        <f t="shared" si="19"/>
        <v>0</v>
      </c>
      <c r="F89" s="73">
        <f>IF(D88&gt;0.00000000001,D88*'CALCULADORA TECH E-3'!$D$15,0)</f>
        <v>0</v>
      </c>
      <c r="G89" s="71">
        <f t="shared" si="14"/>
        <v>0</v>
      </c>
      <c r="H89" s="71">
        <f>IF($B89&lt;0,0,G89/POWER(1+'CALCULADORA TECH E-3'!$D$14,'Flujos Mensuales'!$B89/$A$3))</f>
        <v>0</v>
      </c>
      <c r="I89" s="71">
        <f>IF(B89&lt;0,0,G89/POWER(1+'CALCULADORA TECH E-3'!$D$21,'Flujos Mensuales'!B89/$A$3))</f>
        <v>0</v>
      </c>
      <c r="J89" s="72">
        <f t="shared" si="22"/>
        <v>0</v>
      </c>
      <c r="K89" s="70">
        <f t="shared" si="15"/>
        <v>0</v>
      </c>
      <c r="L89" s="62"/>
      <c r="M89" s="74">
        <f>VLOOKUP(A89,'CALCULADORA TECH E-3'!$C$29:$E$112,3,0)</f>
        <v>0</v>
      </c>
      <c r="N89" s="68">
        <f t="shared" si="20"/>
        <v>-8.659739592076221E-15</v>
      </c>
      <c r="O89" s="70">
        <f t="shared" si="18"/>
        <v>0</v>
      </c>
      <c r="P89" s="73">
        <f>IF(N88&gt;0.00000000001,N88*'CALCULADORA TECH E-3'!$E$15,0)</f>
        <v>0</v>
      </c>
      <c r="Q89" s="71">
        <f t="shared" si="16"/>
        <v>0</v>
      </c>
      <c r="R89" s="71">
        <f>IF($B89&lt;0,0,Q89/POWER(1+'CALCULADORA TECH E-3'!$E$14,'Flujos Mensuales'!$B89/$A$3))</f>
        <v>0</v>
      </c>
      <c r="S89" s="71">
        <f>IF($B89&lt;0,0,Q89/POWER(1+'CALCULADORA TECH E-3'!$E$21,'Flujos Mensuales'!$B89/$A$3))</f>
        <v>0</v>
      </c>
      <c r="T89" s="72">
        <f t="shared" si="23"/>
        <v>0</v>
      </c>
      <c r="U89" s="89">
        <f t="shared" si="17"/>
        <v>0</v>
      </c>
      <c r="W89" s="12">
        <v>82</v>
      </c>
      <c r="X89" s="1">
        <f t="shared" si="24"/>
        <v>64</v>
      </c>
    </row>
    <row r="90" spans="1:24" ht="12.75">
      <c r="A90" s="13">
        <f>_XLL.FECHA.MES(A89,1)</f>
        <v>41228</v>
      </c>
      <c r="B90" s="76">
        <f>DAYS360('CALCULADORA TECH E-3'!$G$8,A90,0)</f>
        <v>1950</v>
      </c>
      <c r="C90" s="77">
        <f>VLOOKUP(A90,'CALCULADORA TECH E-3'!$C$29:$E$112,2,0)</f>
        <v>0</v>
      </c>
      <c r="D90" s="68">
        <f t="shared" si="21"/>
        <v>0</v>
      </c>
      <c r="E90" s="70">
        <f t="shared" si="19"/>
        <v>0</v>
      </c>
      <c r="F90" s="73">
        <f>IF(D89&gt;0.00000000001,D89*'CALCULADORA TECH E-3'!$D$15,0)</f>
        <v>0</v>
      </c>
      <c r="G90" s="71">
        <f t="shared" si="14"/>
        <v>0</v>
      </c>
      <c r="H90" s="71">
        <f>IF($B90&lt;0,0,G90/POWER(1+'CALCULADORA TECH E-3'!$D$14,'Flujos Mensuales'!$B90/$A$3))</f>
        <v>0</v>
      </c>
      <c r="I90" s="71">
        <f>IF(B90&lt;0,0,G90/POWER(1+'CALCULADORA TECH E-3'!$D$21,'Flujos Mensuales'!B90/$A$3))</f>
        <v>0</v>
      </c>
      <c r="J90" s="72">
        <f t="shared" si="22"/>
        <v>0</v>
      </c>
      <c r="K90" s="70">
        <f t="shared" si="15"/>
        <v>0</v>
      </c>
      <c r="L90" s="62"/>
      <c r="M90" s="74">
        <f>VLOOKUP(A90,'CALCULADORA TECH E-3'!$C$29:$E$112,3,0)</f>
        <v>0</v>
      </c>
      <c r="N90" s="68">
        <f t="shared" si="20"/>
        <v>-8.659739592076221E-15</v>
      </c>
      <c r="O90" s="70">
        <f t="shared" si="18"/>
        <v>0</v>
      </c>
      <c r="P90" s="73">
        <f>IF(N89&gt;0.00000000001,N89*'CALCULADORA TECH E-3'!$E$15,0)</f>
        <v>0</v>
      </c>
      <c r="Q90" s="71">
        <f t="shared" si="16"/>
        <v>0</v>
      </c>
      <c r="R90" s="71">
        <f>IF($B90&lt;0,0,Q90/POWER(1+'CALCULADORA TECH E-3'!$E$14,'Flujos Mensuales'!$B90/$A$3))</f>
        <v>0</v>
      </c>
      <c r="S90" s="71">
        <f>IF($B90&lt;0,0,Q90/POWER(1+'CALCULADORA TECH E-3'!$E$21,'Flujos Mensuales'!$B90/$A$3))</f>
        <v>0</v>
      </c>
      <c r="T90" s="72">
        <f t="shared" si="23"/>
        <v>0</v>
      </c>
      <c r="U90" s="89">
        <f t="shared" si="17"/>
        <v>0</v>
      </c>
      <c r="W90" s="1">
        <v>83</v>
      </c>
      <c r="X90" s="1">
        <f t="shared" si="24"/>
        <v>65</v>
      </c>
    </row>
    <row r="91" spans="1:24" s="14" customFormat="1" ht="13.5" thickBot="1">
      <c r="A91" s="18">
        <f>_XLL.FECHA.MES(A90,1)</f>
        <v>41258</v>
      </c>
      <c r="B91" s="134">
        <f>DAYS360('CALCULADORA TECH E-3'!$G$8,A91,0)</f>
        <v>1980</v>
      </c>
      <c r="C91" s="135">
        <f>VLOOKUP(A91,'CALCULADORA TECH E-3'!$C$29:$E$112,2,0)</f>
        <v>0</v>
      </c>
      <c r="D91" s="136">
        <f t="shared" si="21"/>
        <v>0</v>
      </c>
      <c r="E91" s="137">
        <f t="shared" si="19"/>
        <v>0</v>
      </c>
      <c r="F91" s="137">
        <f>IF(D90&gt;0.00000000001,D90*'CALCULADORA TECH E-3'!$D$15,0)</f>
        <v>0</v>
      </c>
      <c r="G91" s="138">
        <f t="shared" si="14"/>
        <v>0</v>
      </c>
      <c r="H91" s="138">
        <f>IF($B91&lt;0,0,G91/POWER(1+'CALCULADORA TECH E-3'!$D$14,'Flujos Mensuales'!$B91/$A$3))</f>
        <v>0</v>
      </c>
      <c r="I91" s="138">
        <f>IF(B91&lt;0,0,G91/POWER(1+'CALCULADORA TECH E-3'!$D$21,'Flujos Mensuales'!B91/$A$3))</f>
        <v>0</v>
      </c>
      <c r="J91" s="139">
        <f>ROUND(F93/30,4)</f>
        <v>0</v>
      </c>
      <c r="K91" s="137">
        <f t="shared" si="15"/>
        <v>0</v>
      </c>
      <c r="L91" s="140"/>
      <c r="M91" s="141">
        <f>VLOOKUP(A91,'CALCULADORA TECH E-3'!$C$29:$E$112,3,0)</f>
        <v>0</v>
      </c>
      <c r="N91" s="136">
        <f t="shared" si="20"/>
        <v>-8.659739592076221E-15</v>
      </c>
      <c r="O91" s="137">
        <f t="shared" si="18"/>
        <v>0</v>
      </c>
      <c r="P91" s="137">
        <f>IF(N90&gt;0.00000000001,N90*'CALCULADORA TECH E-3'!$E$15,0)</f>
        <v>0</v>
      </c>
      <c r="Q91" s="138">
        <f t="shared" si="16"/>
        <v>0</v>
      </c>
      <c r="R91" s="138">
        <f>IF($B91&lt;0,0,Q91/POWER(1+'CALCULADORA TECH E-3'!$E$14,'Flujos Mensuales'!$B91/$A$3))</f>
        <v>0</v>
      </c>
      <c r="S91" s="138">
        <f>IF($B91&lt;0,0,Q91/POWER(1+'CALCULADORA TECH E-3'!$E$21,'Flujos Mensuales'!$B91/$A$3))</f>
        <v>0</v>
      </c>
      <c r="T91" s="139">
        <f>ROUND(P93/30,4)</f>
        <v>0</v>
      </c>
      <c r="U91" s="142">
        <f t="shared" si="17"/>
        <v>0</v>
      </c>
      <c r="W91" s="14">
        <v>84</v>
      </c>
      <c r="X91" s="1">
        <f t="shared" si="24"/>
        <v>66</v>
      </c>
    </row>
    <row r="92" spans="1:24" s="14" customFormat="1" ht="12.75">
      <c r="A92" s="18" t="s">
        <v>77</v>
      </c>
      <c r="B92" s="144"/>
      <c r="C92" s="160">
        <f>SUM(C17:C91)</f>
        <v>0</v>
      </c>
      <c r="D92" s="69"/>
      <c r="E92" s="73"/>
      <c r="F92" s="73"/>
      <c r="G92" s="73"/>
      <c r="H92" s="71"/>
      <c r="I92" s="71"/>
      <c r="J92" s="73"/>
      <c r="K92" s="73"/>
      <c r="L92" s="145"/>
      <c r="M92" s="160">
        <f>SUM(M26:M91)</f>
        <v>0.00608004</v>
      </c>
      <c r="N92" s="69"/>
      <c r="O92" s="73"/>
      <c r="P92" s="73"/>
      <c r="Q92" s="73"/>
      <c r="R92" s="71"/>
      <c r="S92" s="71"/>
      <c r="T92" s="73"/>
      <c r="U92" s="73"/>
      <c r="X92" s="15"/>
    </row>
    <row r="93" spans="1:21" ht="12.75">
      <c r="A93" s="13"/>
      <c r="B93" s="16"/>
      <c r="C93" s="9"/>
      <c r="E93" s="10"/>
      <c r="G93" s="3"/>
      <c r="H93" s="16"/>
      <c r="I93" s="16"/>
      <c r="J93" s="11"/>
      <c r="K93" s="11"/>
      <c r="M93" s="74"/>
      <c r="N93" s="68"/>
      <c r="O93" s="70"/>
      <c r="P93" s="73"/>
      <c r="Q93" s="70"/>
      <c r="R93" s="71"/>
      <c r="S93" s="71"/>
      <c r="T93" s="70"/>
      <c r="U93" s="11"/>
    </row>
    <row r="94" spans="6:23" ht="12.75">
      <c r="F94" s="14"/>
      <c r="G94" s="14"/>
      <c r="H94" s="168">
        <f>SUM(H7:H91)</f>
        <v>0</v>
      </c>
      <c r="I94" s="168">
        <f>SUM(I7:I91)</f>
        <v>0</v>
      </c>
      <c r="K94" s="85" t="e">
        <f>SUM(K7:K91)/I94</f>
        <v>#DIV/0!</v>
      </c>
      <c r="M94" s="74"/>
      <c r="N94" s="68"/>
      <c r="O94" s="70"/>
      <c r="P94" s="73"/>
      <c r="Q94" s="70"/>
      <c r="R94" s="71">
        <f>SUM(R7:R91)</f>
        <v>0.6080037143233952</v>
      </c>
      <c r="S94" s="71">
        <f>SUM(S7:S91)</f>
        <v>0.6080037143233952</v>
      </c>
      <c r="T94" s="70"/>
      <c r="U94" s="85">
        <f>SUM(U7:U91)/S94</f>
        <v>30</v>
      </c>
      <c r="W94" s="12"/>
    </row>
    <row r="95" spans="1:21" ht="12.75">
      <c r="A95" s="14" t="s">
        <v>14</v>
      </c>
      <c r="B95" s="14"/>
      <c r="C95" s="162">
        <f>SUMPRODUCT(C7:C91,$W$7:$W$91)</f>
        <v>5.22419282</v>
      </c>
      <c r="D95" s="162" t="s">
        <v>78</v>
      </c>
      <c r="F95" s="14" t="s">
        <v>19</v>
      </c>
      <c r="G95" s="14"/>
      <c r="H95" s="168">
        <f>H94-D102</f>
        <v>0</v>
      </c>
      <c r="I95" s="168">
        <f>I94-D102</f>
        <v>0</v>
      </c>
      <c r="J95" s="1" t="s">
        <v>46</v>
      </c>
      <c r="K95" s="86" t="e">
        <f>K94/360</f>
        <v>#DIV/0!</v>
      </c>
      <c r="M95" s="162">
        <f>SUMPRODUCT(M7:M91,$W$7:$W$91)</f>
        <v>12.541340570000001</v>
      </c>
      <c r="N95" s="162" t="s">
        <v>78</v>
      </c>
      <c r="O95" s="70"/>
      <c r="P95" s="73" t="s">
        <v>19</v>
      </c>
      <c r="Q95" s="70"/>
      <c r="R95" s="71">
        <f>R94-N102</f>
        <v>0.6080037143233952</v>
      </c>
      <c r="S95" s="71">
        <f>S94-N102</f>
        <v>0.6080037143233952</v>
      </c>
      <c r="T95" s="164" t="s">
        <v>46</v>
      </c>
      <c r="U95" s="86">
        <f>U94/360</f>
        <v>0.08333333333333333</v>
      </c>
    </row>
    <row r="96" spans="1:21" ht="12.75">
      <c r="A96" s="14" t="s">
        <v>14</v>
      </c>
      <c r="C96" s="161" t="e">
        <f>SUMPRODUCT(C17:C91,$X$17:$X$91)/C92</f>
        <v>#DIV/0!</v>
      </c>
      <c r="D96" s="17" t="s">
        <v>79</v>
      </c>
      <c r="J96" s="1" t="s">
        <v>45</v>
      </c>
      <c r="K96" s="86" t="e">
        <f>K95/(1+'CALCULADORA TECH E-3'!D21)</f>
        <v>#DIV/0!</v>
      </c>
      <c r="M96" s="161">
        <f>SUMPRODUCT(M26:M91,$X$26:$X$91)/M92</f>
        <v>1</v>
      </c>
      <c r="N96" s="17" t="s">
        <v>79</v>
      </c>
      <c r="O96" s="70"/>
      <c r="P96" s="73"/>
      <c r="Q96" s="70"/>
      <c r="R96" s="71"/>
      <c r="S96" s="71"/>
      <c r="T96" s="164" t="s">
        <v>45</v>
      </c>
      <c r="U96" s="86">
        <f>U95/(1+'CALCULADORA TECH E-3'!E21)</f>
        <v>0.0827540549486925</v>
      </c>
    </row>
    <row r="97" spans="9:21" ht="12.75">
      <c r="I97" s="50"/>
      <c r="M97" s="74"/>
      <c r="N97" s="68"/>
      <c r="O97" s="70"/>
      <c r="P97" s="73"/>
      <c r="Q97" s="70"/>
      <c r="R97" s="71"/>
      <c r="S97" s="71"/>
      <c r="T97" s="70"/>
      <c r="U97" s="70"/>
    </row>
    <row r="98" spans="2:21" ht="12.75">
      <c r="B98" s="1" t="s">
        <v>15</v>
      </c>
      <c r="C98" s="1"/>
      <c r="M98" s="74"/>
      <c r="N98" s="68"/>
      <c r="O98" s="70"/>
      <c r="P98" s="73"/>
      <c r="Q98" s="70"/>
      <c r="R98" s="71"/>
      <c r="S98" s="71"/>
      <c r="T98" s="70"/>
      <c r="U98" s="70"/>
    </row>
    <row r="99" spans="3:21" s="14" customFormat="1" ht="12.75">
      <c r="C99" s="162"/>
      <c r="D99" s="162"/>
      <c r="M99" s="75"/>
      <c r="N99" s="69"/>
      <c r="O99" s="73"/>
      <c r="P99" s="73"/>
      <c r="Q99" s="73"/>
      <c r="R99" s="71"/>
      <c r="S99" s="71"/>
      <c r="T99" s="73"/>
      <c r="U99" s="73"/>
    </row>
    <row r="100" spans="2:21" s="14" customFormat="1" ht="12.75">
      <c r="B100" s="14" t="s">
        <v>16</v>
      </c>
      <c r="C100" s="162"/>
      <c r="D100" s="166">
        <f>VLOOKUP('CALCULADORA TECH E-3'!$G$8,'Flujos Mensuales'!$A$7:J91,10,1)</f>
        <v>0</v>
      </c>
      <c r="M100" s="14" t="s">
        <v>16</v>
      </c>
      <c r="N100" s="166">
        <f>VLOOKUP('CALCULADORA TECH E-3'!$G$8,'Flujos Mensuales'!$A$7:T91,20,1)</f>
        <v>0</v>
      </c>
      <c r="O100" s="73"/>
      <c r="P100" s="73"/>
      <c r="Q100" s="73"/>
      <c r="R100" s="71"/>
      <c r="S100" s="71"/>
      <c r="T100" s="73"/>
      <c r="U100" s="73"/>
    </row>
    <row r="101" spans="2:21" s="14" customFormat="1" ht="12.75">
      <c r="B101" s="14" t="s">
        <v>17</v>
      </c>
      <c r="C101" s="162"/>
      <c r="D101" s="165">
        <f>IF(IF(AND('CALCULADORA TECH E-3'!$G$8+1&gt;'Flujos Mensuales'!$A$7,'CALCULADORA TECH E-3'!$G$8-1&lt;'Flujos Mensuales'!$A$10),DAYS360('CALCULADORA TECH E-3'!$G$7,'CALCULADORA TECH E-3'!$G$8,0),DAYS360('CALCULADORA TECH E-3'!$G$9,'CALCULADORA TECH E-3'!$G$8,0))=90,0,IF(AND('CALCULADORA TECH E-3'!$G$8+1&gt;'Flujos Mensuales'!$A$7,'CALCULADORA TECH E-3'!$G$8-1&lt;'Flujos Mensuales'!$A$10),DAYS360('CALCULADORA TECH E-3'!$G$7,'CALCULADORA TECH E-3'!$G$8,0),DAYS360('CALCULADORA TECH E-3'!$G$9,'CALCULADORA TECH E-3'!$G$8,0)))</f>
        <v>0</v>
      </c>
      <c r="H101" s="163"/>
      <c r="M101" s="14" t="s">
        <v>17</v>
      </c>
      <c r="N101" s="165">
        <f>IF(IF(AND('CALCULADORA TECH E-3'!$G$8+1&gt;'Flujos Mensuales'!$A$7,'CALCULADORA TECH E-3'!$G$8-1&lt;'Flujos Mensuales'!$A$10),DAYS360('CALCULADORA TECH E-3'!$G$7,'CALCULADORA TECH E-3'!$G$8,0),DAYS360('CALCULADORA TECH E-3'!$G$9,'CALCULADORA TECH E-3'!$G$8,0))=90,0,IF(AND('CALCULADORA TECH E-3'!$G$8+1&gt;'Flujos Mensuales'!$A$7,'CALCULADORA TECH E-3'!$G$8-1&lt;'Flujos Mensuales'!$A$10),DAYS360('CALCULADORA TECH E-3'!$G$7,'CALCULADORA TECH E-3'!$G$8,0),DAYS360('CALCULADORA TECH E-3'!$G$9,'CALCULADORA TECH E-3'!$G$8,0)))</f>
        <v>0</v>
      </c>
      <c r="O101" s="73"/>
      <c r="P101" s="73"/>
      <c r="Q101" s="73"/>
      <c r="R101" s="71"/>
      <c r="S101" s="71"/>
      <c r="T101" s="73"/>
      <c r="U101" s="73"/>
    </row>
    <row r="102" spans="2:21" s="14" customFormat="1" ht="12.75">
      <c r="B102" s="14" t="s">
        <v>18</v>
      </c>
      <c r="C102" s="162"/>
      <c r="D102" s="166">
        <f>D101*D100</f>
        <v>0</v>
      </c>
      <c r="M102" s="14" t="s">
        <v>18</v>
      </c>
      <c r="N102" s="166">
        <f>D101*N100</f>
        <v>0</v>
      </c>
      <c r="O102" s="73"/>
      <c r="P102" s="73"/>
      <c r="Q102" s="73"/>
      <c r="R102" s="71"/>
      <c r="S102" s="71"/>
      <c r="T102" s="73"/>
      <c r="U102" s="73"/>
    </row>
    <row r="103" spans="3:21" s="14" customFormat="1" ht="12.75">
      <c r="C103" s="162"/>
      <c r="D103" s="162"/>
      <c r="M103" s="75"/>
      <c r="N103" s="69"/>
      <c r="O103" s="73"/>
      <c r="P103" s="73"/>
      <c r="Q103" s="73"/>
      <c r="R103" s="71"/>
      <c r="S103" s="71"/>
      <c r="T103" s="73"/>
      <c r="U103" s="73"/>
    </row>
  </sheetData>
  <sheetProtection/>
  <printOptions/>
  <pageMargins left="0.75" right="0.75" top="1" bottom="1" header="0" footer="0"/>
  <pageSetup horizontalDpi="600" verticalDpi="600" orientation="portrait" r:id="rId1"/>
  <ignoredErrors>
    <ignoredError sqref="N100" emptyCellReference="1"/>
  </ignoredErrors>
</worksheet>
</file>

<file path=xl/worksheets/sheet4.xml><?xml version="1.0" encoding="utf-8"?>
<worksheet xmlns="http://schemas.openxmlformats.org/spreadsheetml/2006/main" xmlns:r="http://schemas.openxmlformats.org/officeDocument/2006/relationships">
  <sheetPr codeName="Hoja3"/>
  <dimension ref="A1:U88"/>
  <sheetViews>
    <sheetView showGridLines="0" zoomScale="70" zoomScaleNormal="70" workbookViewId="0" topLeftCell="A1">
      <pane xSplit="1" ySplit="2" topLeftCell="B3" activePane="bottomRight" state="frozen"/>
      <selection pane="topLeft" activeCell="A1" sqref="A1"/>
      <selection pane="topRight" activeCell="B1" sqref="B1"/>
      <selection pane="bottomLeft" activeCell="A3" sqref="A3"/>
      <selection pane="bottomRight" activeCell="F20" sqref="F20"/>
    </sheetView>
  </sheetViews>
  <sheetFormatPr defaultColWidth="11.421875" defaultRowHeight="12.75"/>
  <cols>
    <col min="1" max="1" width="10.28125" style="199" bestFit="1" customWidth="1"/>
    <col min="2" max="2" width="19.7109375" style="190" customWidth="1"/>
    <col min="3" max="3" width="19.7109375" style="199" customWidth="1"/>
    <col min="4" max="4" width="3.8515625" style="199" customWidth="1"/>
    <col min="5" max="6" width="19.7109375" style="199" customWidth="1"/>
    <col min="7" max="7" width="3.28125" style="199" customWidth="1"/>
    <col min="8" max="9" width="19.7109375" style="199" customWidth="1"/>
    <col min="10" max="10" width="3.28125" style="199" customWidth="1"/>
    <col min="11" max="12" width="19.7109375" style="199" customWidth="1"/>
    <col min="13" max="13" width="3.28125" style="199" customWidth="1"/>
    <col min="14" max="15" width="19.7109375" style="199" customWidth="1"/>
    <col min="16" max="16" width="3.421875" style="199" customWidth="1"/>
    <col min="17" max="18" width="19.7109375" style="199" customWidth="1"/>
    <col min="19" max="19" width="4.421875" style="199" customWidth="1"/>
    <col min="20" max="21" width="19.7109375" style="199" customWidth="1"/>
    <col min="22" max="16384" width="11.421875" style="199" customWidth="1"/>
  </cols>
  <sheetData>
    <row r="1" spans="1:21" s="185" customFormat="1" ht="13.5" thickBot="1">
      <c r="A1" s="184"/>
      <c r="B1" s="217" t="s">
        <v>42</v>
      </c>
      <c r="C1" s="218"/>
      <c r="E1" s="219" t="s">
        <v>87</v>
      </c>
      <c r="F1" s="220"/>
      <c r="H1" s="217" t="s">
        <v>30</v>
      </c>
      <c r="I1" s="218"/>
      <c r="K1" s="217" t="s">
        <v>31</v>
      </c>
      <c r="L1" s="218"/>
      <c r="N1" s="217" t="s">
        <v>34</v>
      </c>
      <c r="O1" s="218"/>
      <c r="Q1" s="217" t="s">
        <v>33</v>
      </c>
      <c r="R1" s="218"/>
      <c r="T1" s="217" t="s">
        <v>32</v>
      </c>
      <c r="U1" s="218"/>
    </row>
    <row r="2" spans="1:21" s="185" customFormat="1" ht="13.5" thickBot="1">
      <c r="A2" s="186" t="s">
        <v>11</v>
      </c>
      <c r="B2" s="186" t="s">
        <v>90</v>
      </c>
      <c r="C2" s="186" t="s">
        <v>91</v>
      </c>
      <c r="E2" s="202" t="s">
        <v>90</v>
      </c>
      <c r="F2" s="202" t="s">
        <v>91</v>
      </c>
      <c r="H2" s="186" t="s">
        <v>90</v>
      </c>
      <c r="I2" s="186" t="s">
        <v>91</v>
      </c>
      <c r="K2" s="186" t="s">
        <v>90</v>
      </c>
      <c r="L2" s="186" t="s">
        <v>91</v>
      </c>
      <c r="N2" s="186" t="s">
        <v>90</v>
      </c>
      <c r="O2" s="186" t="s">
        <v>91</v>
      </c>
      <c r="Q2" s="186" t="s">
        <v>90</v>
      </c>
      <c r="R2" s="186" t="s">
        <v>91</v>
      </c>
      <c r="T2" s="186" t="s">
        <v>90</v>
      </c>
      <c r="U2" s="186" t="s">
        <v>91</v>
      </c>
    </row>
    <row r="3" spans="1:21" s="190" customFormat="1" ht="12.75">
      <c r="A3" s="187">
        <v>38732</v>
      </c>
      <c r="B3" s="188">
        <v>0.08085749</v>
      </c>
      <c r="C3" s="189">
        <v>0</v>
      </c>
      <c r="E3" s="200">
        <v>0.08085749</v>
      </c>
      <c r="F3" s="200">
        <v>0</v>
      </c>
      <c r="H3" s="189">
        <v>0.08085749</v>
      </c>
      <c r="I3" s="189">
        <v>0</v>
      </c>
      <c r="K3" s="189">
        <v>0.08085749</v>
      </c>
      <c r="L3" s="189">
        <v>0</v>
      </c>
      <c r="N3" s="189">
        <v>0.08085749</v>
      </c>
      <c r="O3" s="189">
        <v>0</v>
      </c>
      <c r="Q3" s="189">
        <v>0.08085749</v>
      </c>
      <c r="R3" s="189">
        <v>0</v>
      </c>
      <c r="T3" s="189">
        <v>0.08085749</v>
      </c>
      <c r="U3" s="189">
        <v>0</v>
      </c>
    </row>
    <row r="4" spans="1:21" s="190" customFormat="1" ht="12.75">
      <c r="A4" s="187">
        <f>+_XLL.FECHA.MES(A3,1)</f>
        <v>38763</v>
      </c>
      <c r="B4" s="189">
        <v>0.08172564</v>
      </c>
      <c r="C4" s="189">
        <v>0</v>
      </c>
      <c r="E4" s="200">
        <v>0.08172564</v>
      </c>
      <c r="F4" s="200">
        <v>0</v>
      </c>
      <c r="H4" s="189">
        <v>0.08172564</v>
      </c>
      <c r="I4" s="189">
        <v>0</v>
      </c>
      <c r="K4" s="189">
        <v>0.08172564</v>
      </c>
      <c r="L4" s="189">
        <v>0</v>
      </c>
      <c r="N4" s="189">
        <v>0.08172564</v>
      </c>
      <c r="O4" s="189">
        <v>0</v>
      </c>
      <c r="Q4" s="189">
        <v>0.08172564</v>
      </c>
      <c r="R4" s="189">
        <v>0</v>
      </c>
      <c r="T4" s="189">
        <v>0.08172564</v>
      </c>
      <c r="U4" s="189">
        <v>0</v>
      </c>
    </row>
    <row r="5" spans="1:21" s="190" customFormat="1" ht="12.75">
      <c r="A5" s="187">
        <f>+_XLL.FECHA.MES(A4,1)</f>
        <v>38791</v>
      </c>
      <c r="B5" s="189">
        <v>0.11221385</v>
      </c>
      <c r="C5" s="189">
        <v>0</v>
      </c>
      <c r="E5" s="200">
        <v>0.11221385</v>
      </c>
      <c r="F5" s="200">
        <v>0</v>
      </c>
      <c r="H5" s="189">
        <v>0.11221385</v>
      </c>
      <c r="I5" s="189">
        <v>0</v>
      </c>
      <c r="K5" s="189">
        <v>0.11221385</v>
      </c>
      <c r="L5" s="189">
        <v>0</v>
      </c>
      <c r="N5" s="189">
        <v>0.11221385</v>
      </c>
      <c r="O5" s="189">
        <v>0</v>
      </c>
      <c r="Q5" s="189">
        <v>0.11221385</v>
      </c>
      <c r="R5" s="189">
        <v>0</v>
      </c>
      <c r="T5" s="189">
        <v>0.11221385</v>
      </c>
      <c r="U5" s="189">
        <v>0</v>
      </c>
    </row>
    <row r="6" spans="1:21" s="190" customFormat="1" ht="12.75">
      <c r="A6" s="187">
        <f>+_XLL.FECHA.MES(A5,1)</f>
        <v>38822</v>
      </c>
      <c r="B6" s="189">
        <v>0.11666071</v>
      </c>
      <c r="C6" s="189">
        <v>0</v>
      </c>
      <c r="E6" s="200">
        <v>0.11666071</v>
      </c>
      <c r="F6" s="200">
        <v>0</v>
      </c>
      <c r="H6" s="189">
        <v>0.11666071</v>
      </c>
      <c r="I6" s="189">
        <v>0</v>
      </c>
      <c r="K6" s="189">
        <v>0.11666071</v>
      </c>
      <c r="L6" s="189">
        <v>0</v>
      </c>
      <c r="N6" s="189">
        <v>0.11666071</v>
      </c>
      <c r="O6" s="189">
        <v>0</v>
      </c>
      <c r="Q6" s="189">
        <v>0.11666071</v>
      </c>
      <c r="R6" s="189">
        <v>0</v>
      </c>
      <c r="T6" s="189">
        <v>0.11666071</v>
      </c>
      <c r="U6" s="189">
        <v>0</v>
      </c>
    </row>
    <row r="7" spans="1:21" s="190" customFormat="1" ht="12.75">
      <c r="A7" s="187">
        <f>+_XLL.FECHA.MES(A6,1)</f>
        <v>38852</v>
      </c>
      <c r="B7" s="189">
        <v>0.1079034</v>
      </c>
      <c r="C7" s="189">
        <v>0</v>
      </c>
      <c r="E7" s="200">
        <v>0.1079034</v>
      </c>
      <c r="F7" s="200">
        <v>0</v>
      </c>
      <c r="H7" s="189">
        <v>0.1079034</v>
      </c>
      <c r="I7" s="189">
        <v>0</v>
      </c>
      <c r="K7" s="189">
        <v>0.1079034</v>
      </c>
      <c r="L7" s="189">
        <v>0</v>
      </c>
      <c r="N7" s="189">
        <v>0.1079034</v>
      </c>
      <c r="O7" s="189">
        <v>0</v>
      </c>
      <c r="Q7" s="189">
        <v>0.1079034</v>
      </c>
      <c r="R7" s="189">
        <v>0</v>
      </c>
      <c r="T7" s="189">
        <v>0.1079034</v>
      </c>
      <c r="U7" s="189">
        <v>0</v>
      </c>
    </row>
    <row r="8" spans="1:21" s="190" customFormat="1" ht="12.75">
      <c r="A8" s="187">
        <f>+_XLL.FECHA.MES(A7,1)</f>
        <v>38883</v>
      </c>
      <c r="B8" s="189">
        <v>0.16453517</v>
      </c>
      <c r="C8" s="189">
        <v>0</v>
      </c>
      <c r="E8" s="200">
        <v>0.16453517</v>
      </c>
      <c r="F8" s="200">
        <v>0</v>
      </c>
      <c r="H8" s="189">
        <v>0.16453517</v>
      </c>
      <c r="I8" s="189">
        <v>0</v>
      </c>
      <c r="K8" s="189">
        <v>0.16453517</v>
      </c>
      <c r="L8" s="189">
        <v>0</v>
      </c>
      <c r="N8" s="189">
        <v>0.16453517</v>
      </c>
      <c r="O8" s="189">
        <v>0</v>
      </c>
      <c r="Q8" s="189">
        <v>0.16453517</v>
      </c>
      <c r="R8" s="189">
        <v>0</v>
      </c>
      <c r="T8" s="189">
        <v>0.16453517</v>
      </c>
      <c r="U8" s="189">
        <v>0</v>
      </c>
    </row>
    <row r="9" spans="1:21" s="190" customFormat="1" ht="12.75">
      <c r="A9" s="187">
        <f>+_XLL.FECHA.MES(A8,1)</f>
        <v>38913</v>
      </c>
      <c r="B9" s="189">
        <v>0.12544124</v>
      </c>
      <c r="C9" s="189">
        <v>0</v>
      </c>
      <c r="E9" s="200">
        <v>0.12544124</v>
      </c>
      <c r="F9" s="200">
        <v>0</v>
      </c>
      <c r="H9" s="189">
        <v>0.12544124</v>
      </c>
      <c r="I9" s="189">
        <v>0</v>
      </c>
      <c r="K9" s="189">
        <v>0.12544124</v>
      </c>
      <c r="L9" s="189">
        <v>0</v>
      </c>
      <c r="N9" s="189">
        <v>0.12544124</v>
      </c>
      <c r="O9" s="189">
        <v>0</v>
      </c>
      <c r="Q9" s="189">
        <v>0.12544124</v>
      </c>
      <c r="R9" s="189">
        <v>0</v>
      </c>
      <c r="T9" s="189">
        <v>0.12544124</v>
      </c>
      <c r="U9" s="189">
        <v>0</v>
      </c>
    </row>
    <row r="10" spans="1:21" s="190" customFormat="1" ht="12.75">
      <c r="A10" s="187">
        <f>+_XLL.FECHA.MES(A9,1)</f>
        <v>38944</v>
      </c>
      <c r="B10" s="189">
        <v>0.12417954</v>
      </c>
      <c r="C10" s="189">
        <v>0</v>
      </c>
      <c r="E10" s="200">
        <v>0.12417954</v>
      </c>
      <c r="F10" s="200">
        <v>0</v>
      </c>
      <c r="H10" s="189">
        <v>0.12417954</v>
      </c>
      <c r="I10" s="189">
        <v>0</v>
      </c>
      <c r="K10" s="189">
        <v>0.12417954</v>
      </c>
      <c r="L10" s="189">
        <v>0</v>
      </c>
      <c r="N10" s="189">
        <v>0.12417954</v>
      </c>
      <c r="O10" s="189">
        <v>0</v>
      </c>
      <c r="Q10" s="189">
        <v>0.12417954</v>
      </c>
      <c r="R10" s="189">
        <v>0</v>
      </c>
      <c r="T10" s="189">
        <v>0.12417954</v>
      </c>
      <c r="U10" s="189">
        <v>0</v>
      </c>
    </row>
    <row r="11" spans="1:21" s="190" customFormat="1" ht="12.75">
      <c r="A11" s="187">
        <f>+_XLL.FECHA.MES(A10,1)</f>
        <v>38975</v>
      </c>
      <c r="B11" s="189">
        <v>0.08648296</v>
      </c>
      <c r="C11" s="189">
        <v>0.14953061</v>
      </c>
      <c r="E11" s="200">
        <v>0.08648296</v>
      </c>
      <c r="F11" s="200">
        <v>0.14953061</v>
      </c>
      <c r="H11" s="189">
        <v>0.08648296</v>
      </c>
      <c r="I11" s="189">
        <v>0.14953061</v>
      </c>
      <c r="K11" s="189">
        <v>0.08648296</v>
      </c>
      <c r="L11" s="189">
        <v>0.14953061</v>
      </c>
      <c r="N11" s="189">
        <v>0.08648296</v>
      </c>
      <c r="O11" s="189">
        <v>0.14953061</v>
      </c>
      <c r="Q11" s="189">
        <v>0.08648296</v>
      </c>
      <c r="R11" s="189">
        <v>0.14953061</v>
      </c>
      <c r="T11" s="189">
        <v>0.08648296</v>
      </c>
      <c r="U11" s="189">
        <v>0.14953061</v>
      </c>
    </row>
    <row r="12" spans="1:21" s="190" customFormat="1" ht="12.75">
      <c r="A12" s="187">
        <f>+_XLL.FECHA.MES(A11,1)</f>
        <v>39005</v>
      </c>
      <c r="B12" s="189">
        <v>0</v>
      </c>
      <c r="C12" s="189">
        <v>0.12469036</v>
      </c>
      <c r="E12" s="200">
        <v>0</v>
      </c>
      <c r="F12" s="200">
        <v>0.12469036</v>
      </c>
      <c r="H12" s="189">
        <v>0</v>
      </c>
      <c r="I12" s="189">
        <v>0.12469036</v>
      </c>
      <c r="K12" s="189">
        <v>0</v>
      </c>
      <c r="L12" s="189">
        <v>0.12469036</v>
      </c>
      <c r="N12" s="189">
        <v>0</v>
      </c>
      <c r="O12" s="189">
        <v>0.12469036</v>
      </c>
      <c r="Q12" s="189">
        <v>0</v>
      </c>
      <c r="R12" s="189">
        <v>0.12469036</v>
      </c>
      <c r="T12" s="189">
        <v>0</v>
      </c>
      <c r="U12" s="189">
        <v>0.12469036</v>
      </c>
    </row>
    <row r="13" spans="1:21" s="190" customFormat="1" ht="12.75">
      <c r="A13" s="187">
        <f>+_XLL.FECHA.MES(A12,1)</f>
        <v>39036</v>
      </c>
      <c r="B13" s="189">
        <v>0</v>
      </c>
      <c r="C13" s="189">
        <v>0.14589588</v>
      </c>
      <c r="E13" s="200">
        <v>0</v>
      </c>
      <c r="F13" s="200">
        <v>0.14589588</v>
      </c>
      <c r="H13" s="189">
        <v>0</v>
      </c>
      <c r="I13" s="189">
        <v>0.14589588</v>
      </c>
      <c r="K13" s="189">
        <v>0</v>
      </c>
      <c r="L13" s="189">
        <v>0.14589588</v>
      </c>
      <c r="N13" s="189">
        <v>0</v>
      </c>
      <c r="O13" s="189">
        <v>0.14589588</v>
      </c>
      <c r="Q13" s="189">
        <v>0</v>
      </c>
      <c r="R13" s="189">
        <v>0.14589588</v>
      </c>
      <c r="T13" s="189">
        <v>0</v>
      </c>
      <c r="U13" s="189">
        <v>0.14589588</v>
      </c>
    </row>
    <row r="14" spans="1:21" s="190" customFormat="1" ht="12.75">
      <c r="A14" s="187">
        <f>+_XLL.FECHA.MES(A13,1)</f>
        <v>39066</v>
      </c>
      <c r="B14" s="189">
        <v>0</v>
      </c>
      <c r="C14" s="189">
        <v>0.12602953</v>
      </c>
      <c r="E14" s="200">
        <v>0</v>
      </c>
      <c r="F14" s="200">
        <v>0.12602953</v>
      </c>
      <c r="H14" s="189">
        <v>0</v>
      </c>
      <c r="I14" s="189">
        <v>0.12602953</v>
      </c>
      <c r="K14" s="189">
        <v>0</v>
      </c>
      <c r="L14" s="189">
        <v>0.12602953</v>
      </c>
      <c r="N14" s="189">
        <v>0</v>
      </c>
      <c r="O14" s="189">
        <v>0.12602953</v>
      </c>
      <c r="Q14" s="189">
        <v>0</v>
      </c>
      <c r="R14" s="189">
        <v>0.12602953</v>
      </c>
      <c r="T14" s="189">
        <v>0</v>
      </c>
      <c r="U14" s="189">
        <v>0.12602953</v>
      </c>
    </row>
    <row r="15" spans="1:21" s="190" customFormat="1" ht="12.75">
      <c r="A15" s="187">
        <f>+_XLL.FECHA.MES(A14,1)</f>
        <v>39097</v>
      </c>
      <c r="B15" s="189">
        <v>0</v>
      </c>
      <c r="C15" s="189">
        <v>0.10773726</v>
      </c>
      <c r="E15" s="200">
        <v>0</v>
      </c>
      <c r="F15" s="200">
        <v>0.10773726</v>
      </c>
      <c r="H15" s="189">
        <v>0</v>
      </c>
      <c r="I15" s="189">
        <v>0.10773726</v>
      </c>
      <c r="K15" s="189">
        <v>0</v>
      </c>
      <c r="L15" s="189">
        <v>0.10773726</v>
      </c>
      <c r="N15" s="189">
        <v>0</v>
      </c>
      <c r="O15" s="189">
        <v>0.10773726</v>
      </c>
      <c r="Q15" s="189">
        <v>0</v>
      </c>
      <c r="R15" s="189">
        <v>0.10773726</v>
      </c>
      <c r="T15" s="189">
        <v>0</v>
      </c>
      <c r="U15" s="189">
        <v>0.10773726</v>
      </c>
    </row>
    <row r="16" spans="1:21" s="190" customFormat="1" ht="12.75">
      <c r="A16" s="187">
        <f>+_XLL.FECHA.MES(A15,1)</f>
        <v>39128</v>
      </c>
      <c r="B16" s="189">
        <v>0</v>
      </c>
      <c r="C16" s="189">
        <v>0.09165127</v>
      </c>
      <c r="E16" s="200">
        <v>0</v>
      </c>
      <c r="F16" s="200">
        <v>0.09165127</v>
      </c>
      <c r="H16" s="189">
        <v>0</v>
      </c>
      <c r="I16" s="189">
        <v>0.09165127</v>
      </c>
      <c r="K16" s="189">
        <v>0</v>
      </c>
      <c r="L16" s="189">
        <v>0.09165127</v>
      </c>
      <c r="N16" s="189">
        <v>0</v>
      </c>
      <c r="O16" s="189">
        <v>0.09165127</v>
      </c>
      <c r="Q16" s="189">
        <v>0</v>
      </c>
      <c r="R16" s="189">
        <v>0.09165127</v>
      </c>
      <c r="T16" s="189">
        <v>0</v>
      </c>
      <c r="U16" s="189">
        <v>0.09165127</v>
      </c>
    </row>
    <row r="17" spans="1:21" s="190" customFormat="1" ht="12.75">
      <c r="A17" s="187">
        <f>+_XLL.FECHA.MES(A16,1)</f>
        <v>39156</v>
      </c>
      <c r="B17" s="189">
        <v>0</v>
      </c>
      <c r="C17" s="189">
        <v>0.08807158</v>
      </c>
      <c r="E17" s="200">
        <v>0</v>
      </c>
      <c r="F17" s="200">
        <v>0.08807158</v>
      </c>
      <c r="H17" s="189">
        <v>0</v>
      </c>
      <c r="I17" s="189">
        <v>0.08807158</v>
      </c>
      <c r="K17" s="189">
        <v>0</v>
      </c>
      <c r="L17" s="189">
        <v>0.08807158</v>
      </c>
      <c r="N17" s="189">
        <v>0</v>
      </c>
      <c r="O17" s="189">
        <v>0.08807158</v>
      </c>
      <c r="Q17" s="189">
        <v>0</v>
      </c>
      <c r="R17" s="189">
        <v>0.08807158</v>
      </c>
      <c r="T17" s="189">
        <v>0</v>
      </c>
      <c r="U17" s="189">
        <v>0.08807158</v>
      </c>
    </row>
    <row r="18" spans="1:21" s="190" customFormat="1" ht="12.75">
      <c r="A18" s="187">
        <f>+_XLL.FECHA.MES(A17,1)</f>
        <v>39187</v>
      </c>
      <c r="B18" s="189">
        <v>0</v>
      </c>
      <c r="C18" s="189">
        <v>0.06752771</v>
      </c>
      <c r="E18" s="200">
        <v>0</v>
      </c>
      <c r="F18" s="200">
        <v>0.06752771</v>
      </c>
      <c r="H18" s="189">
        <v>0</v>
      </c>
      <c r="I18" s="189">
        <v>0.06752771</v>
      </c>
      <c r="K18" s="189">
        <v>0</v>
      </c>
      <c r="L18" s="189">
        <v>0.06752771</v>
      </c>
      <c r="N18" s="189">
        <v>0</v>
      </c>
      <c r="O18" s="189">
        <v>0.06752771</v>
      </c>
      <c r="Q18" s="189">
        <v>0</v>
      </c>
      <c r="R18" s="189">
        <v>0.06752771</v>
      </c>
      <c r="T18" s="189">
        <v>0</v>
      </c>
      <c r="U18" s="189">
        <v>0.06752771</v>
      </c>
    </row>
    <row r="19" spans="1:21" s="190" customFormat="1" ht="12.75">
      <c r="A19" s="187">
        <f>+_XLL.FECHA.MES(A18,1)</f>
        <v>39217</v>
      </c>
      <c r="B19" s="189">
        <v>0</v>
      </c>
      <c r="C19" s="189">
        <v>0.03943122</v>
      </c>
      <c r="E19" s="200">
        <v>0</v>
      </c>
      <c r="F19" s="200">
        <v>0.03943122</v>
      </c>
      <c r="H19" s="189">
        <v>0</v>
      </c>
      <c r="I19" s="189">
        <v>0.03943122</v>
      </c>
      <c r="K19" s="189">
        <v>0</v>
      </c>
      <c r="L19" s="189">
        <v>0.03943122</v>
      </c>
      <c r="N19" s="189">
        <v>0</v>
      </c>
      <c r="O19" s="189">
        <v>0.03943122</v>
      </c>
      <c r="Q19" s="189">
        <v>0</v>
      </c>
      <c r="R19" s="189">
        <v>0.03943122</v>
      </c>
      <c r="T19" s="189">
        <v>0</v>
      </c>
      <c r="U19" s="189">
        <v>0.03943122</v>
      </c>
    </row>
    <row r="20" spans="1:21" s="193" customFormat="1" ht="12.75">
      <c r="A20" s="191">
        <f>+_XLL.FECHA.MES(A19,1)</f>
        <v>39248</v>
      </c>
      <c r="B20" s="192">
        <v>0</v>
      </c>
      <c r="C20" s="192">
        <v>0.05335454</v>
      </c>
      <c r="E20" s="192">
        <v>0</v>
      </c>
      <c r="F20" s="192">
        <v>0.05335454</v>
      </c>
      <c r="H20" s="192">
        <v>0</v>
      </c>
      <c r="I20" s="192">
        <v>0.05335454</v>
      </c>
      <c r="K20" s="192">
        <v>0</v>
      </c>
      <c r="L20" s="192">
        <v>0.053354540000000006</v>
      </c>
      <c r="N20" s="192">
        <v>0</v>
      </c>
      <c r="O20" s="192">
        <v>0.05335454</v>
      </c>
      <c r="Q20" s="192">
        <v>0</v>
      </c>
      <c r="R20" s="192">
        <v>0.05335454</v>
      </c>
      <c r="T20" s="192">
        <v>0</v>
      </c>
      <c r="U20" s="192">
        <v>0.05335454</v>
      </c>
    </row>
    <row r="21" spans="1:21" s="190" customFormat="1" ht="12.75">
      <c r="A21" s="187">
        <f>+_XLL.FECHA.MES(A20,1)</f>
        <v>39278</v>
      </c>
      <c r="B21" s="189">
        <v>0</v>
      </c>
      <c r="C21" s="189">
        <v>0</v>
      </c>
      <c r="E21" s="200">
        <v>0</v>
      </c>
      <c r="F21" s="200">
        <v>0.00608004</v>
      </c>
      <c r="H21" s="189">
        <v>0</v>
      </c>
      <c r="I21" s="189">
        <v>0.00608004</v>
      </c>
      <c r="K21" s="189">
        <v>0</v>
      </c>
      <c r="L21" s="189">
        <v>0.00608004</v>
      </c>
      <c r="N21" s="189">
        <v>0</v>
      </c>
      <c r="O21" s="189">
        <v>0.00608004</v>
      </c>
      <c r="Q21" s="189">
        <v>0</v>
      </c>
      <c r="R21" s="189">
        <v>0.00608004</v>
      </c>
      <c r="T21" s="189">
        <v>0</v>
      </c>
      <c r="U21" s="189">
        <v>0.00608004</v>
      </c>
    </row>
    <row r="22" spans="1:21" s="190" customFormat="1" ht="12.75">
      <c r="A22" s="187">
        <f>+_XLL.FECHA.MES(A21,1)</f>
        <v>39309</v>
      </c>
      <c r="B22" s="189">
        <v>0</v>
      </c>
      <c r="C22" s="189">
        <v>0</v>
      </c>
      <c r="E22" s="200">
        <v>0</v>
      </c>
      <c r="F22" s="200">
        <v>0</v>
      </c>
      <c r="H22" s="189">
        <v>0</v>
      </c>
      <c r="I22" s="189">
        <v>0</v>
      </c>
      <c r="K22" s="189">
        <v>0</v>
      </c>
      <c r="L22" s="189">
        <v>0</v>
      </c>
      <c r="N22" s="189">
        <v>0</v>
      </c>
      <c r="O22" s="189">
        <v>0</v>
      </c>
      <c r="Q22" s="189">
        <v>0</v>
      </c>
      <c r="R22" s="189">
        <v>0</v>
      </c>
      <c r="T22" s="189">
        <v>0</v>
      </c>
      <c r="U22" s="189">
        <v>0</v>
      </c>
    </row>
    <row r="23" spans="1:21" s="190" customFormat="1" ht="12.75">
      <c r="A23" s="187">
        <f>+_XLL.FECHA.MES(A22,1)</f>
        <v>39340</v>
      </c>
      <c r="B23" s="189">
        <v>0</v>
      </c>
      <c r="C23" s="189">
        <v>0</v>
      </c>
      <c r="E23" s="200">
        <v>0</v>
      </c>
      <c r="F23" s="200">
        <v>0</v>
      </c>
      <c r="H23" s="189">
        <v>0</v>
      </c>
      <c r="I23" s="189">
        <v>0</v>
      </c>
      <c r="K23" s="189">
        <v>0</v>
      </c>
      <c r="L23" s="189">
        <v>0</v>
      </c>
      <c r="N23" s="189">
        <v>0</v>
      </c>
      <c r="O23" s="189">
        <v>0</v>
      </c>
      <c r="Q23" s="189">
        <v>0</v>
      </c>
      <c r="R23" s="189">
        <v>0</v>
      </c>
      <c r="T23" s="189">
        <v>0</v>
      </c>
      <c r="U23" s="189">
        <v>0</v>
      </c>
    </row>
    <row r="24" spans="1:21" s="190" customFormat="1" ht="12.75">
      <c r="A24" s="187">
        <f>+_XLL.FECHA.MES(A23,1)</f>
        <v>39370</v>
      </c>
      <c r="B24" s="189">
        <v>0</v>
      </c>
      <c r="C24" s="189">
        <v>0</v>
      </c>
      <c r="E24" s="200">
        <v>0</v>
      </c>
      <c r="F24" s="200">
        <v>0</v>
      </c>
      <c r="H24" s="189">
        <v>0</v>
      </c>
      <c r="I24" s="189">
        <v>0</v>
      </c>
      <c r="K24" s="189">
        <v>0</v>
      </c>
      <c r="L24" s="189">
        <v>0</v>
      </c>
      <c r="N24" s="189">
        <v>0</v>
      </c>
      <c r="O24" s="189">
        <v>0</v>
      </c>
      <c r="Q24" s="189">
        <v>0</v>
      </c>
      <c r="R24" s="189">
        <v>0</v>
      </c>
      <c r="T24" s="189">
        <v>0</v>
      </c>
      <c r="U24" s="189">
        <v>0</v>
      </c>
    </row>
    <row r="25" spans="1:21" s="190" customFormat="1" ht="12.75">
      <c r="A25" s="187">
        <f>+_XLL.FECHA.MES(A24,1)</f>
        <v>39401</v>
      </c>
      <c r="B25" s="189">
        <v>0</v>
      </c>
      <c r="C25" s="189">
        <v>0</v>
      </c>
      <c r="E25" s="200">
        <v>0</v>
      </c>
      <c r="F25" s="200">
        <v>0</v>
      </c>
      <c r="H25" s="189">
        <v>0</v>
      </c>
      <c r="I25" s="189">
        <v>0</v>
      </c>
      <c r="K25" s="189">
        <v>0</v>
      </c>
      <c r="L25" s="189">
        <v>0</v>
      </c>
      <c r="N25" s="189">
        <v>0</v>
      </c>
      <c r="O25" s="189">
        <v>0</v>
      </c>
      <c r="Q25" s="189">
        <v>0</v>
      </c>
      <c r="R25" s="189">
        <v>0</v>
      </c>
      <c r="T25" s="189">
        <v>0</v>
      </c>
      <c r="U25" s="189">
        <v>0</v>
      </c>
    </row>
    <row r="26" spans="1:21" s="190" customFormat="1" ht="12.75">
      <c r="A26" s="187">
        <f>+_XLL.FECHA.MES(A25,1)</f>
        <v>39431</v>
      </c>
      <c r="B26" s="189">
        <v>0</v>
      </c>
      <c r="C26" s="189">
        <v>0</v>
      </c>
      <c r="E26" s="200">
        <v>0</v>
      </c>
      <c r="F26" s="200">
        <v>0</v>
      </c>
      <c r="H26" s="189">
        <v>0</v>
      </c>
      <c r="I26" s="189">
        <v>0</v>
      </c>
      <c r="K26" s="189">
        <v>0</v>
      </c>
      <c r="L26" s="189">
        <v>0</v>
      </c>
      <c r="N26" s="189">
        <v>0</v>
      </c>
      <c r="O26" s="189">
        <v>0</v>
      </c>
      <c r="Q26" s="189">
        <v>0</v>
      </c>
      <c r="R26" s="189">
        <v>0</v>
      </c>
      <c r="T26" s="189">
        <v>0</v>
      </c>
      <c r="U26" s="189">
        <v>0</v>
      </c>
    </row>
    <row r="27" spans="1:21" s="190" customFormat="1" ht="12.75">
      <c r="A27" s="187">
        <f>+_XLL.FECHA.MES(A26,1)</f>
        <v>39462</v>
      </c>
      <c r="B27" s="189">
        <v>0</v>
      </c>
      <c r="C27" s="189">
        <v>0</v>
      </c>
      <c r="E27" s="200">
        <v>0</v>
      </c>
      <c r="F27" s="200">
        <v>0</v>
      </c>
      <c r="H27" s="189">
        <v>0</v>
      </c>
      <c r="I27" s="189">
        <v>0</v>
      </c>
      <c r="K27" s="189">
        <v>0</v>
      </c>
      <c r="L27" s="189">
        <v>0</v>
      </c>
      <c r="N27" s="189">
        <v>0</v>
      </c>
      <c r="O27" s="189">
        <v>0</v>
      </c>
      <c r="Q27" s="189">
        <v>0</v>
      </c>
      <c r="R27" s="189">
        <v>0</v>
      </c>
      <c r="T27" s="189">
        <v>0</v>
      </c>
      <c r="U27" s="189">
        <v>0</v>
      </c>
    </row>
    <row r="28" spans="1:21" s="190" customFormat="1" ht="12.75">
      <c r="A28" s="187">
        <f>+_XLL.FECHA.MES(A27,1)</f>
        <v>39493</v>
      </c>
      <c r="B28" s="189">
        <v>0</v>
      </c>
      <c r="C28" s="189">
        <v>0</v>
      </c>
      <c r="E28" s="200">
        <v>0</v>
      </c>
      <c r="F28" s="200">
        <v>0</v>
      </c>
      <c r="H28" s="189">
        <v>0</v>
      </c>
      <c r="I28" s="189">
        <v>0</v>
      </c>
      <c r="K28" s="189">
        <v>0</v>
      </c>
      <c r="L28" s="189">
        <v>0</v>
      </c>
      <c r="N28" s="189">
        <v>0</v>
      </c>
      <c r="O28" s="189">
        <v>0</v>
      </c>
      <c r="Q28" s="189">
        <v>0</v>
      </c>
      <c r="R28" s="189">
        <v>0</v>
      </c>
      <c r="T28" s="189">
        <v>0</v>
      </c>
      <c r="U28" s="189">
        <v>0</v>
      </c>
    </row>
    <row r="29" spans="1:21" s="190" customFormat="1" ht="12.75">
      <c r="A29" s="187">
        <f>+_XLL.FECHA.MES(A28,1)</f>
        <v>39522</v>
      </c>
      <c r="B29" s="189">
        <v>0</v>
      </c>
      <c r="C29" s="189">
        <v>0</v>
      </c>
      <c r="E29" s="200">
        <v>0</v>
      </c>
      <c r="F29" s="200">
        <v>0</v>
      </c>
      <c r="H29" s="189">
        <v>0</v>
      </c>
      <c r="I29" s="189">
        <v>0</v>
      </c>
      <c r="K29" s="189">
        <v>0</v>
      </c>
      <c r="L29" s="189">
        <v>0</v>
      </c>
      <c r="N29" s="189">
        <v>0</v>
      </c>
      <c r="O29" s="189">
        <v>0</v>
      </c>
      <c r="Q29" s="189">
        <v>0</v>
      </c>
      <c r="R29" s="189">
        <v>0</v>
      </c>
      <c r="T29" s="189">
        <v>0</v>
      </c>
      <c r="U29" s="189">
        <v>0</v>
      </c>
    </row>
    <row r="30" spans="1:21" s="190" customFormat="1" ht="12.75">
      <c r="A30" s="187">
        <f>+_XLL.FECHA.MES(A29,1)</f>
        <v>39553</v>
      </c>
      <c r="B30" s="189">
        <v>0</v>
      </c>
      <c r="C30" s="189">
        <v>0</v>
      </c>
      <c r="E30" s="200">
        <v>0</v>
      </c>
      <c r="F30" s="200">
        <v>0</v>
      </c>
      <c r="H30" s="189">
        <v>0</v>
      </c>
      <c r="I30" s="189">
        <v>0</v>
      </c>
      <c r="K30" s="189">
        <v>0</v>
      </c>
      <c r="L30" s="189">
        <v>0</v>
      </c>
      <c r="N30" s="189">
        <v>0</v>
      </c>
      <c r="O30" s="189">
        <v>0</v>
      </c>
      <c r="Q30" s="189">
        <v>0</v>
      </c>
      <c r="R30" s="189">
        <v>0</v>
      </c>
      <c r="T30" s="189">
        <v>0</v>
      </c>
      <c r="U30" s="189">
        <v>0</v>
      </c>
    </row>
    <row r="31" spans="1:21" s="190" customFormat="1" ht="12.75">
      <c r="A31" s="187">
        <f>+_XLL.FECHA.MES(A30,1)</f>
        <v>39583</v>
      </c>
      <c r="B31" s="189">
        <v>0</v>
      </c>
      <c r="C31" s="189">
        <v>0</v>
      </c>
      <c r="E31" s="200">
        <v>0</v>
      </c>
      <c r="F31" s="200">
        <v>0</v>
      </c>
      <c r="H31" s="189">
        <v>0</v>
      </c>
      <c r="I31" s="189">
        <v>0</v>
      </c>
      <c r="K31" s="189">
        <v>0</v>
      </c>
      <c r="L31" s="189">
        <v>0</v>
      </c>
      <c r="N31" s="189">
        <v>0</v>
      </c>
      <c r="O31" s="189">
        <v>0</v>
      </c>
      <c r="Q31" s="189">
        <v>0</v>
      </c>
      <c r="R31" s="189">
        <v>0</v>
      </c>
      <c r="T31" s="189">
        <v>0</v>
      </c>
      <c r="U31" s="189">
        <v>0</v>
      </c>
    </row>
    <row r="32" spans="1:21" s="190" customFormat="1" ht="12.75">
      <c r="A32" s="187">
        <f>+_XLL.FECHA.MES(A31,1)</f>
        <v>39614</v>
      </c>
      <c r="B32" s="189">
        <v>0</v>
      </c>
      <c r="C32" s="189">
        <v>0</v>
      </c>
      <c r="E32" s="200">
        <v>0</v>
      </c>
      <c r="F32" s="200">
        <v>0</v>
      </c>
      <c r="H32" s="189">
        <v>0</v>
      </c>
      <c r="I32" s="189">
        <v>0</v>
      </c>
      <c r="K32" s="189">
        <v>0</v>
      </c>
      <c r="L32" s="189">
        <v>0</v>
      </c>
      <c r="N32" s="189">
        <v>0</v>
      </c>
      <c r="O32" s="189">
        <v>0</v>
      </c>
      <c r="Q32" s="189">
        <v>0</v>
      </c>
      <c r="R32" s="189">
        <v>0</v>
      </c>
      <c r="T32" s="189">
        <v>0</v>
      </c>
      <c r="U32" s="189">
        <v>0</v>
      </c>
    </row>
    <row r="33" spans="1:21" s="190" customFormat="1" ht="12.75">
      <c r="A33" s="187">
        <f>+_XLL.FECHA.MES(A32,1)</f>
        <v>39644</v>
      </c>
      <c r="B33" s="189">
        <v>0</v>
      </c>
      <c r="C33" s="189">
        <v>0</v>
      </c>
      <c r="E33" s="200">
        <v>0</v>
      </c>
      <c r="F33" s="200">
        <v>0</v>
      </c>
      <c r="H33" s="189">
        <v>0</v>
      </c>
      <c r="I33" s="189">
        <v>0</v>
      </c>
      <c r="K33" s="189">
        <v>0</v>
      </c>
      <c r="L33" s="189">
        <v>0</v>
      </c>
      <c r="N33" s="189">
        <v>0</v>
      </c>
      <c r="O33" s="189">
        <v>0</v>
      </c>
      <c r="Q33" s="189">
        <v>0</v>
      </c>
      <c r="R33" s="189">
        <v>0</v>
      </c>
      <c r="T33" s="189">
        <v>0</v>
      </c>
      <c r="U33" s="189">
        <v>0</v>
      </c>
    </row>
    <row r="34" spans="1:21" s="190" customFormat="1" ht="12.75">
      <c r="A34" s="187">
        <f>+_XLL.FECHA.MES(A33,1)</f>
        <v>39675</v>
      </c>
      <c r="B34" s="189">
        <v>0</v>
      </c>
      <c r="C34" s="189">
        <v>0</v>
      </c>
      <c r="E34" s="200">
        <v>0</v>
      </c>
      <c r="F34" s="200">
        <v>0</v>
      </c>
      <c r="H34" s="189">
        <v>0</v>
      </c>
      <c r="I34" s="189">
        <v>0</v>
      </c>
      <c r="K34" s="189">
        <v>0</v>
      </c>
      <c r="L34" s="189">
        <v>0</v>
      </c>
      <c r="N34" s="189">
        <v>0</v>
      </c>
      <c r="O34" s="189">
        <v>0</v>
      </c>
      <c r="Q34" s="189">
        <v>0</v>
      </c>
      <c r="R34" s="189">
        <v>0</v>
      </c>
      <c r="S34" s="194"/>
      <c r="T34" s="189">
        <v>0</v>
      </c>
      <c r="U34" s="189">
        <v>0</v>
      </c>
    </row>
    <row r="35" spans="1:21" s="190" customFormat="1" ht="12.75">
      <c r="A35" s="187">
        <f>+_XLL.FECHA.MES(A34,1)</f>
        <v>39706</v>
      </c>
      <c r="B35" s="189">
        <v>0</v>
      </c>
      <c r="C35" s="189">
        <v>0</v>
      </c>
      <c r="E35" s="200">
        <v>0</v>
      </c>
      <c r="F35" s="200">
        <v>0</v>
      </c>
      <c r="H35" s="189">
        <v>0</v>
      </c>
      <c r="I35" s="189">
        <v>0</v>
      </c>
      <c r="K35" s="189">
        <v>0</v>
      </c>
      <c r="L35" s="189">
        <v>0</v>
      </c>
      <c r="N35" s="189">
        <v>0</v>
      </c>
      <c r="O35" s="189">
        <v>0</v>
      </c>
      <c r="Q35" s="189">
        <v>0</v>
      </c>
      <c r="R35" s="189">
        <v>0</v>
      </c>
      <c r="S35" s="194"/>
      <c r="T35" s="189">
        <v>0</v>
      </c>
      <c r="U35" s="189">
        <v>0</v>
      </c>
    </row>
    <row r="36" spans="1:21" s="190" customFormat="1" ht="12.75">
      <c r="A36" s="187">
        <f>+_XLL.FECHA.MES(A35,1)</f>
        <v>39736</v>
      </c>
      <c r="B36" s="189">
        <v>0</v>
      </c>
      <c r="C36" s="189">
        <v>0</v>
      </c>
      <c r="E36" s="200">
        <v>0</v>
      </c>
      <c r="F36" s="200">
        <v>0</v>
      </c>
      <c r="H36" s="189">
        <v>0</v>
      </c>
      <c r="I36" s="189">
        <v>0</v>
      </c>
      <c r="K36" s="189">
        <v>0</v>
      </c>
      <c r="L36" s="189">
        <v>0</v>
      </c>
      <c r="N36" s="189">
        <v>0</v>
      </c>
      <c r="O36" s="189">
        <v>0</v>
      </c>
      <c r="Q36" s="189">
        <v>0</v>
      </c>
      <c r="R36" s="189">
        <v>0</v>
      </c>
      <c r="S36" s="194"/>
      <c r="T36" s="189">
        <v>0</v>
      </c>
      <c r="U36" s="189">
        <v>0</v>
      </c>
    </row>
    <row r="37" spans="1:21" s="190" customFormat="1" ht="12.75">
      <c r="A37" s="187">
        <f>+_XLL.FECHA.MES(A36,1)</f>
        <v>39767</v>
      </c>
      <c r="B37" s="189">
        <v>0</v>
      </c>
      <c r="C37" s="189">
        <v>0</v>
      </c>
      <c r="E37" s="200">
        <v>0</v>
      </c>
      <c r="F37" s="200">
        <v>0</v>
      </c>
      <c r="H37" s="189">
        <v>0</v>
      </c>
      <c r="I37" s="189">
        <v>0</v>
      </c>
      <c r="K37" s="189">
        <v>0</v>
      </c>
      <c r="L37" s="189">
        <v>0</v>
      </c>
      <c r="N37" s="189">
        <v>0</v>
      </c>
      <c r="O37" s="189">
        <v>0</v>
      </c>
      <c r="Q37" s="189">
        <v>0</v>
      </c>
      <c r="R37" s="189">
        <v>0</v>
      </c>
      <c r="T37" s="189">
        <v>0</v>
      </c>
      <c r="U37" s="189">
        <v>0</v>
      </c>
    </row>
    <row r="38" spans="1:21" s="190" customFormat="1" ht="12.75">
      <c r="A38" s="187">
        <f>+_XLL.FECHA.MES(A37,1)</f>
        <v>39797</v>
      </c>
      <c r="B38" s="189">
        <v>0</v>
      </c>
      <c r="C38" s="189">
        <v>0</v>
      </c>
      <c r="E38" s="200">
        <v>0</v>
      </c>
      <c r="F38" s="200">
        <v>0</v>
      </c>
      <c r="H38" s="189">
        <v>0</v>
      </c>
      <c r="I38" s="189">
        <v>0</v>
      </c>
      <c r="K38" s="189">
        <v>0</v>
      </c>
      <c r="L38" s="189">
        <v>0</v>
      </c>
      <c r="N38" s="189">
        <v>0</v>
      </c>
      <c r="O38" s="189">
        <v>0</v>
      </c>
      <c r="Q38" s="189">
        <v>0</v>
      </c>
      <c r="R38" s="189">
        <v>0</v>
      </c>
      <c r="T38" s="189">
        <v>0</v>
      </c>
      <c r="U38" s="189">
        <v>0</v>
      </c>
    </row>
    <row r="39" spans="1:21" s="190" customFormat="1" ht="12.75">
      <c r="A39" s="187">
        <f>+_XLL.FECHA.MES(A38,1)</f>
        <v>39828</v>
      </c>
      <c r="B39" s="189">
        <v>0</v>
      </c>
      <c r="C39" s="189">
        <v>0</v>
      </c>
      <c r="E39" s="200">
        <v>0</v>
      </c>
      <c r="F39" s="200">
        <v>0</v>
      </c>
      <c r="H39" s="189">
        <v>0</v>
      </c>
      <c r="I39" s="189">
        <v>0</v>
      </c>
      <c r="K39" s="189">
        <v>0</v>
      </c>
      <c r="L39" s="189">
        <v>0</v>
      </c>
      <c r="N39" s="189">
        <v>0</v>
      </c>
      <c r="O39" s="189">
        <v>0</v>
      </c>
      <c r="Q39" s="189">
        <v>0</v>
      </c>
      <c r="R39" s="189">
        <v>0</v>
      </c>
      <c r="T39" s="189">
        <v>0</v>
      </c>
      <c r="U39" s="189">
        <v>0</v>
      </c>
    </row>
    <row r="40" spans="1:21" s="190" customFormat="1" ht="12.75">
      <c r="A40" s="187">
        <f>+_XLL.FECHA.MES(A39,1)</f>
        <v>39859</v>
      </c>
      <c r="B40" s="189">
        <v>0</v>
      </c>
      <c r="C40" s="189">
        <v>0</v>
      </c>
      <c r="E40" s="200">
        <v>0</v>
      </c>
      <c r="F40" s="200">
        <v>0</v>
      </c>
      <c r="H40" s="189">
        <v>0</v>
      </c>
      <c r="I40" s="189">
        <v>0</v>
      </c>
      <c r="K40" s="189">
        <v>0</v>
      </c>
      <c r="L40" s="189">
        <v>0</v>
      </c>
      <c r="N40" s="189">
        <v>0</v>
      </c>
      <c r="O40" s="189">
        <v>0</v>
      </c>
      <c r="Q40" s="189">
        <v>0</v>
      </c>
      <c r="R40" s="189">
        <v>0</v>
      </c>
      <c r="T40" s="189">
        <v>0</v>
      </c>
      <c r="U40" s="189">
        <v>0</v>
      </c>
    </row>
    <row r="41" spans="1:21" s="190" customFormat="1" ht="12.75">
      <c r="A41" s="187">
        <f>+_XLL.FECHA.MES(A40,1)</f>
        <v>39887</v>
      </c>
      <c r="B41" s="189">
        <v>0</v>
      </c>
      <c r="C41" s="189">
        <v>0</v>
      </c>
      <c r="E41" s="200">
        <v>0</v>
      </c>
      <c r="F41" s="200">
        <v>0</v>
      </c>
      <c r="H41" s="189">
        <v>0</v>
      </c>
      <c r="I41" s="189">
        <v>0</v>
      </c>
      <c r="K41" s="189">
        <v>0</v>
      </c>
      <c r="L41" s="189">
        <v>0</v>
      </c>
      <c r="N41" s="189">
        <v>0</v>
      </c>
      <c r="O41" s="189">
        <v>0</v>
      </c>
      <c r="Q41" s="189">
        <v>0</v>
      </c>
      <c r="R41" s="189">
        <v>0</v>
      </c>
      <c r="T41" s="189">
        <v>0</v>
      </c>
      <c r="U41" s="189">
        <v>0</v>
      </c>
    </row>
    <row r="42" spans="1:21" s="190" customFormat="1" ht="12.75">
      <c r="A42" s="187">
        <f>+_XLL.FECHA.MES(A41,1)</f>
        <v>39918</v>
      </c>
      <c r="B42" s="189">
        <v>0</v>
      </c>
      <c r="C42" s="189">
        <v>0</v>
      </c>
      <c r="E42" s="200">
        <v>0</v>
      </c>
      <c r="F42" s="200">
        <v>0</v>
      </c>
      <c r="H42" s="189">
        <v>0</v>
      </c>
      <c r="I42" s="189">
        <v>0</v>
      </c>
      <c r="K42" s="189">
        <v>0</v>
      </c>
      <c r="L42" s="189">
        <v>0</v>
      </c>
      <c r="N42" s="189">
        <v>0</v>
      </c>
      <c r="O42" s="189">
        <v>0</v>
      </c>
      <c r="Q42" s="189">
        <v>0</v>
      </c>
      <c r="R42" s="189">
        <v>0</v>
      </c>
      <c r="T42" s="189">
        <v>0</v>
      </c>
      <c r="U42" s="189">
        <v>0</v>
      </c>
    </row>
    <row r="43" spans="1:21" s="190" customFormat="1" ht="12.75">
      <c r="A43" s="187">
        <f>+_XLL.FECHA.MES(A42,1)</f>
        <v>39948</v>
      </c>
      <c r="B43" s="189">
        <v>0</v>
      </c>
      <c r="C43" s="189">
        <v>0</v>
      </c>
      <c r="E43" s="200">
        <v>0</v>
      </c>
      <c r="F43" s="200">
        <v>0</v>
      </c>
      <c r="H43" s="189">
        <v>0</v>
      </c>
      <c r="I43" s="189">
        <v>0</v>
      </c>
      <c r="K43" s="189">
        <v>0</v>
      </c>
      <c r="L43" s="189">
        <v>0</v>
      </c>
      <c r="N43" s="189">
        <v>0</v>
      </c>
      <c r="O43" s="189">
        <v>0</v>
      </c>
      <c r="Q43" s="189">
        <v>0</v>
      </c>
      <c r="R43" s="189">
        <v>0</v>
      </c>
      <c r="T43" s="189">
        <v>0</v>
      </c>
      <c r="U43" s="189">
        <v>0</v>
      </c>
    </row>
    <row r="44" spans="1:21" s="190" customFormat="1" ht="12.75">
      <c r="A44" s="187">
        <f>+_XLL.FECHA.MES(A43,1)</f>
        <v>39979</v>
      </c>
      <c r="B44" s="189">
        <v>0</v>
      </c>
      <c r="C44" s="189">
        <v>0</v>
      </c>
      <c r="E44" s="200">
        <v>0</v>
      </c>
      <c r="F44" s="200">
        <v>0</v>
      </c>
      <c r="H44" s="189">
        <v>0</v>
      </c>
      <c r="I44" s="189">
        <v>0</v>
      </c>
      <c r="K44" s="189">
        <v>0</v>
      </c>
      <c r="L44" s="189">
        <v>0</v>
      </c>
      <c r="N44" s="189">
        <v>0</v>
      </c>
      <c r="O44" s="189">
        <v>0</v>
      </c>
      <c r="Q44" s="189">
        <v>0</v>
      </c>
      <c r="R44" s="189">
        <v>0</v>
      </c>
      <c r="T44" s="189">
        <v>0</v>
      </c>
      <c r="U44" s="189">
        <v>0</v>
      </c>
    </row>
    <row r="45" spans="1:21" s="190" customFormat="1" ht="12.75">
      <c r="A45" s="187">
        <f>+_XLL.FECHA.MES(A44,1)</f>
        <v>40009</v>
      </c>
      <c r="B45" s="189">
        <v>0</v>
      </c>
      <c r="C45" s="189">
        <v>0</v>
      </c>
      <c r="E45" s="200">
        <v>0</v>
      </c>
      <c r="F45" s="200">
        <v>0</v>
      </c>
      <c r="H45" s="189">
        <v>0</v>
      </c>
      <c r="I45" s="189">
        <v>0</v>
      </c>
      <c r="K45" s="189">
        <v>0</v>
      </c>
      <c r="L45" s="189">
        <v>0</v>
      </c>
      <c r="N45" s="189">
        <v>0</v>
      </c>
      <c r="O45" s="189">
        <v>0</v>
      </c>
      <c r="Q45" s="189">
        <v>0</v>
      </c>
      <c r="R45" s="189">
        <v>0</v>
      </c>
      <c r="T45" s="189">
        <v>0</v>
      </c>
      <c r="U45" s="189">
        <v>0</v>
      </c>
    </row>
    <row r="46" spans="1:21" s="190" customFormat="1" ht="12.75">
      <c r="A46" s="187">
        <f>+_XLL.FECHA.MES(A45,1)</f>
        <v>40040</v>
      </c>
      <c r="B46" s="189">
        <v>0</v>
      </c>
      <c r="C46" s="189">
        <v>0</v>
      </c>
      <c r="E46" s="200">
        <v>0</v>
      </c>
      <c r="F46" s="200">
        <v>0</v>
      </c>
      <c r="H46" s="189">
        <v>0</v>
      </c>
      <c r="I46" s="189">
        <v>0</v>
      </c>
      <c r="K46" s="189">
        <v>0</v>
      </c>
      <c r="L46" s="189">
        <v>0</v>
      </c>
      <c r="N46" s="189">
        <v>0</v>
      </c>
      <c r="O46" s="189">
        <v>0</v>
      </c>
      <c r="Q46" s="189">
        <v>0</v>
      </c>
      <c r="R46" s="189">
        <v>0</v>
      </c>
      <c r="T46" s="189">
        <v>0</v>
      </c>
      <c r="U46" s="189">
        <v>0</v>
      </c>
    </row>
    <row r="47" spans="1:21" s="190" customFormat="1" ht="12.75">
      <c r="A47" s="187">
        <f>+_XLL.FECHA.MES(A46,1)</f>
        <v>40071</v>
      </c>
      <c r="B47" s="189">
        <v>0</v>
      </c>
      <c r="C47" s="189">
        <v>0</v>
      </c>
      <c r="E47" s="200">
        <v>0</v>
      </c>
      <c r="F47" s="200">
        <v>0</v>
      </c>
      <c r="H47" s="189">
        <v>0</v>
      </c>
      <c r="I47" s="189">
        <v>0</v>
      </c>
      <c r="K47" s="189">
        <v>0</v>
      </c>
      <c r="L47" s="189">
        <v>0</v>
      </c>
      <c r="N47" s="189">
        <v>0</v>
      </c>
      <c r="O47" s="189">
        <v>0</v>
      </c>
      <c r="Q47" s="189">
        <v>0</v>
      </c>
      <c r="R47" s="189">
        <v>0</v>
      </c>
      <c r="T47" s="189">
        <v>0</v>
      </c>
      <c r="U47" s="189">
        <v>0</v>
      </c>
    </row>
    <row r="48" spans="1:21" s="190" customFormat="1" ht="12.75">
      <c r="A48" s="187">
        <f>+_XLL.FECHA.MES(A47,1)</f>
        <v>40101</v>
      </c>
      <c r="B48" s="189">
        <v>0</v>
      </c>
      <c r="C48" s="189">
        <v>0</v>
      </c>
      <c r="E48" s="200">
        <v>0</v>
      </c>
      <c r="F48" s="200">
        <v>0</v>
      </c>
      <c r="H48" s="189">
        <v>0</v>
      </c>
      <c r="I48" s="189">
        <v>0</v>
      </c>
      <c r="K48" s="189">
        <v>0</v>
      </c>
      <c r="L48" s="189">
        <v>0</v>
      </c>
      <c r="N48" s="189">
        <v>0</v>
      </c>
      <c r="O48" s="189">
        <v>0</v>
      </c>
      <c r="Q48" s="189">
        <v>0</v>
      </c>
      <c r="R48" s="189">
        <v>0</v>
      </c>
      <c r="T48" s="189">
        <v>0</v>
      </c>
      <c r="U48" s="189">
        <v>0</v>
      </c>
    </row>
    <row r="49" spans="1:21" s="190" customFormat="1" ht="12.75">
      <c r="A49" s="187">
        <f>+_XLL.FECHA.MES(A48,1)</f>
        <v>40132</v>
      </c>
      <c r="B49" s="189">
        <v>0</v>
      </c>
      <c r="C49" s="189">
        <v>0</v>
      </c>
      <c r="E49" s="200">
        <v>0</v>
      </c>
      <c r="F49" s="200">
        <v>0</v>
      </c>
      <c r="H49" s="189">
        <v>0</v>
      </c>
      <c r="I49" s="189">
        <v>0</v>
      </c>
      <c r="K49" s="189">
        <v>0</v>
      </c>
      <c r="L49" s="189">
        <v>0</v>
      </c>
      <c r="N49" s="189">
        <v>0</v>
      </c>
      <c r="O49" s="189">
        <v>0</v>
      </c>
      <c r="Q49" s="189">
        <v>0</v>
      </c>
      <c r="R49" s="189">
        <v>0</v>
      </c>
      <c r="T49" s="189">
        <v>0</v>
      </c>
      <c r="U49" s="189">
        <v>0</v>
      </c>
    </row>
    <row r="50" spans="1:21" s="190" customFormat="1" ht="12.75">
      <c r="A50" s="187">
        <f>+_XLL.FECHA.MES(A49,1)</f>
        <v>40162</v>
      </c>
      <c r="B50" s="189">
        <v>0</v>
      </c>
      <c r="C50" s="189">
        <v>0</v>
      </c>
      <c r="E50" s="200">
        <v>0</v>
      </c>
      <c r="F50" s="200">
        <v>0</v>
      </c>
      <c r="H50" s="189">
        <v>0</v>
      </c>
      <c r="I50" s="189">
        <v>0</v>
      </c>
      <c r="K50" s="189">
        <v>0</v>
      </c>
      <c r="L50" s="189">
        <v>0</v>
      </c>
      <c r="N50" s="189">
        <v>0</v>
      </c>
      <c r="O50" s="189">
        <v>0</v>
      </c>
      <c r="Q50" s="189">
        <v>0</v>
      </c>
      <c r="R50" s="189">
        <v>0</v>
      </c>
      <c r="T50" s="189">
        <v>0</v>
      </c>
      <c r="U50" s="189">
        <v>0</v>
      </c>
    </row>
    <row r="51" spans="1:21" s="190" customFormat="1" ht="12.75">
      <c r="A51" s="187">
        <f>+_XLL.FECHA.MES(A50,1)</f>
        <v>40193</v>
      </c>
      <c r="B51" s="189">
        <v>0</v>
      </c>
      <c r="C51" s="189">
        <v>0</v>
      </c>
      <c r="E51" s="200">
        <v>0</v>
      </c>
      <c r="F51" s="200">
        <v>0</v>
      </c>
      <c r="H51" s="189">
        <v>0</v>
      </c>
      <c r="I51" s="189">
        <v>0</v>
      </c>
      <c r="K51" s="189">
        <v>0</v>
      </c>
      <c r="L51" s="189">
        <v>0</v>
      </c>
      <c r="N51" s="189">
        <v>0</v>
      </c>
      <c r="O51" s="189">
        <v>0</v>
      </c>
      <c r="Q51" s="189">
        <v>0</v>
      </c>
      <c r="R51" s="189">
        <v>0</v>
      </c>
      <c r="T51" s="189">
        <v>0</v>
      </c>
      <c r="U51" s="189">
        <v>0</v>
      </c>
    </row>
    <row r="52" spans="1:21" s="190" customFormat="1" ht="12.75">
      <c r="A52" s="187">
        <f>+_XLL.FECHA.MES(A51,1)</f>
        <v>40224</v>
      </c>
      <c r="B52" s="189">
        <v>0</v>
      </c>
      <c r="C52" s="189">
        <v>0</v>
      </c>
      <c r="E52" s="200">
        <v>0</v>
      </c>
      <c r="F52" s="200">
        <v>0</v>
      </c>
      <c r="H52" s="189">
        <v>0</v>
      </c>
      <c r="I52" s="189">
        <v>0</v>
      </c>
      <c r="K52" s="189">
        <v>0</v>
      </c>
      <c r="L52" s="189">
        <v>0</v>
      </c>
      <c r="N52" s="189">
        <v>0</v>
      </c>
      <c r="O52" s="189">
        <v>0</v>
      </c>
      <c r="Q52" s="189">
        <v>0</v>
      </c>
      <c r="R52" s="189">
        <v>0</v>
      </c>
      <c r="T52" s="189">
        <v>0</v>
      </c>
      <c r="U52" s="189">
        <v>0</v>
      </c>
    </row>
    <row r="53" spans="1:21" s="190" customFormat="1" ht="12.75">
      <c r="A53" s="187">
        <f>+_XLL.FECHA.MES(A52,1)</f>
        <v>40252</v>
      </c>
      <c r="B53" s="189">
        <v>0</v>
      </c>
      <c r="C53" s="189">
        <v>0</v>
      </c>
      <c r="E53" s="200">
        <v>0</v>
      </c>
      <c r="F53" s="200">
        <v>0</v>
      </c>
      <c r="H53" s="189">
        <v>0</v>
      </c>
      <c r="I53" s="189">
        <v>0</v>
      </c>
      <c r="K53" s="189">
        <v>0</v>
      </c>
      <c r="L53" s="189">
        <v>0</v>
      </c>
      <c r="N53" s="189">
        <v>0</v>
      </c>
      <c r="O53" s="189">
        <v>0</v>
      </c>
      <c r="Q53" s="189">
        <v>0</v>
      </c>
      <c r="R53" s="189">
        <v>0</v>
      </c>
      <c r="T53" s="189">
        <v>0</v>
      </c>
      <c r="U53" s="189">
        <v>0</v>
      </c>
    </row>
    <row r="54" spans="1:21" s="190" customFormat="1" ht="12.75">
      <c r="A54" s="187">
        <f>+_XLL.FECHA.MES(A53,1)</f>
        <v>40283</v>
      </c>
      <c r="B54" s="189">
        <v>0</v>
      </c>
      <c r="C54" s="189">
        <v>0</v>
      </c>
      <c r="E54" s="200">
        <v>0</v>
      </c>
      <c r="F54" s="200">
        <v>0</v>
      </c>
      <c r="H54" s="189">
        <v>0</v>
      </c>
      <c r="I54" s="189">
        <v>0</v>
      </c>
      <c r="K54" s="189">
        <v>0</v>
      </c>
      <c r="L54" s="189">
        <v>0</v>
      </c>
      <c r="N54" s="189">
        <v>0</v>
      </c>
      <c r="O54" s="189">
        <v>0</v>
      </c>
      <c r="Q54" s="189">
        <v>0</v>
      </c>
      <c r="R54" s="189">
        <v>0</v>
      </c>
      <c r="T54" s="189">
        <v>0</v>
      </c>
      <c r="U54" s="189">
        <v>0</v>
      </c>
    </row>
    <row r="55" spans="1:21" s="190" customFormat="1" ht="12.75">
      <c r="A55" s="187">
        <f>+_XLL.FECHA.MES(A54,1)</f>
        <v>40313</v>
      </c>
      <c r="B55" s="189">
        <v>0</v>
      </c>
      <c r="C55" s="189">
        <v>0</v>
      </c>
      <c r="E55" s="200">
        <v>0</v>
      </c>
      <c r="F55" s="200">
        <v>0</v>
      </c>
      <c r="H55" s="189">
        <v>0</v>
      </c>
      <c r="I55" s="189">
        <v>0</v>
      </c>
      <c r="K55" s="189">
        <v>0</v>
      </c>
      <c r="L55" s="189">
        <v>0</v>
      </c>
      <c r="N55" s="189">
        <v>0</v>
      </c>
      <c r="O55" s="189">
        <v>0</v>
      </c>
      <c r="Q55" s="189">
        <v>0</v>
      </c>
      <c r="R55" s="189">
        <v>0</v>
      </c>
      <c r="T55" s="189">
        <v>0</v>
      </c>
      <c r="U55" s="189">
        <v>0</v>
      </c>
    </row>
    <row r="56" spans="1:21" s="190" customFormat="1" ht="12.75">
      <c r="A56" s="187">
        <f>+_XLL.FECHA.MES(A55,1)</f>
        <v>40344</v>
      </c>
      <c r="B56" s="189">
        <v>0</v>
      </c>
      <c r="C56" s="189">
        <v>0</v>
      </c>
      <c r="E56" s="200">
        <v>0</v>
      </c>
      <c r="F56" s="200">
        <v>0</v>
      </c>
      <c r="H56" s="189">
        <v>0</v>
      </c>
      <c r="I56" s="189">
        <v>0</v>
      </c>
      <c r="K56" s="189">
        <v>0</v>
      </c>
      <c r="L56" s="189">
        <v>0</v>
      </c>
      <c r="N56" s="189">
        <v>0</v>
      </c>
      <c r="O56" s="189">
        <v>0</v>
      </c>
      <c r="Q56" s="189">
        <v>0</v>
      </c>
      <c r="R56" s="189">
        <v>0</v>
      </c>
      <c r="T56" s="189">
        <v>0</v>
      </c>
      <c r="U56" s="189">
        <v>0</v>
      </c>
    </row>
    <row r="57" spans="1:21" s="190" customFormat="1" ht="12.75">
      <c r="A57" s="187">
        <f>+_XLL.FECHA.MES(A56,1)</f>
        <v>40374</v>
      </c>
      <c r="B57" s="189">
        <v>0</v>
      </c>
      <c r="C57" s="189">
        <v>0</v>
      </c>
      <c r="E57" s="200">
        <v>0</v>
      </c>
      <c r="F57" s="200">
        <v>0</v>
      </c>
      <c r="H57" s="189">
        <v>0</v>
      </c>
      <c r="I57" s="189">
        <v>0</v>
      </c>
      <c r="K57" s="189">
        <v>0</v>
      </c>
      <c r="L57" s="189">
        <v>0</v>
      </c>
      <c r="N57" s="189">
        <v>0</v>
      </c>
      <c r="O57" s="189">
        <v>0</v>
      </c>
      <c r="Q57" s="189">
        <v>0</v>
      </c>
      <c r="R57" s="189">
        <v>0</v>
      </c>
      <c r="T57" s="189">
        <v>0</v>
      </c>
      <c r="U57" s="189">
        <v>0</v>
      </c>
    </row>
    <row r="58" spans="1:21" s="190" customFormat="1" ht="12.75">
      <c r="A58" s="187">
        <f>+_XLL.FECHA.MES(A57,1)</f>
        <v>40405</v>
      </c>
      <c r="B58" s="189">
        <v>0</v>
      </c>
      <c r="C58" s="189">
        <v>0</v>
      </c>
      <c r="E58" s="200">
        <v>0</v>
      </c>
      <c r="F58" s="200">
        <v>0</v>
      </c>
      <c r="H58" s="189">
        <v>0</v>
      </c>
      <c r="I58" s="189">
        <v>0</v>
      </c>
      <c r="K58" s="189">
        <v>0</v>
      </c>
      <c r="L58" s="189">
        <v>0</v>
      </c>
      <c r="N58" s="189">
        <v>0</v>
      </c>
      <c r="O58" s="189">
        <v>0</v>
      </c>
      <c r="Q58" s="189">
        <v>0</v>
      </c>
      <c r="R58" s="189">
        <v>0</v>
      </c>
      <c r="T58" s="189">
        <v>0</v>
      </c>
      <c r="U58" s="189">
        <v>0</v>
      </c>
    </row>
    <row r="59" spans="1:21" s="190" customFormat="1" ht="12.75">
      <c r="A59" s="187">
        <f>+_XLL.FECHA.MES(A58,1)</f>
        <v>40436</v>
      </c>
      <c r="B59" s="189">
        <v>0</v>
      </c>
      <c r="C59" s="189">
        <v>0</v>
      </c>
      <c r="E59" s="200">
        <v>0</v>
      </c>
      <c r="F59" s="200">
        <v>0</v>
      </c>
      <c r="H59" s="189">
        <v>0</v>
      </c>
      <c r="I59" s="189">
        <v>0</v>
      </c>
      <c r="K59" s="189">
        <v>0</v>
      </c>
      <c r="L59" s="189">
        <v>0</v>
      </c>
      <c r="N59" s="189">
        <v>0</v>
      </c>
      <c r="O59" s="189">
        <v>0</v>
      </c>
      <c r="Q59" s="189">
        <v>0</v>
      </c>
      <c r="R59" s="189">
        <v>0</v>
      </c>
      <c r="T59" s="189">
        <v>0</v>
      </c>
      <c r="U59" s="189">
        <v>0</v>
      </c>
    </row>
    <row r="60" spans="1:21" s="190" customFormat="1" ht="12.75">
      <c r="A60" s="187">
        <f>+_XLL.FECHA.MES(A59,1)</f>
        <v>40466</v>
      </c>
      <c r="B60" s="189">
        <v>0</v>
      </c>
      <c r="C60" s="189">
        <v>0</v>
      </c>
      <c r="E60" s="200">
        <v>0</v>
      </c>
      <c r="F60" s="200">
        <v>0</v>
      </c>
      <c r="H60" s="189">
        <v>0</v>
      </c>
      <c r="I60" s="189">
        <v>0</v>
      </c>
      <c r="K60" s="189">
        <v>0</v>
      </c>
      <c r="L60" s="189">
        <v>0</v>
      </c>
      <c r="N60" s="189">
        <v>0</v>
      </c>
      <c r="O60" s="189">
        <v>0</v>
      </c>
      <c r="Q60" s="189">
        <v>0</v>
      </c>
      <c r="R60" s="189">
        <v>0</v>
      </c>
      <c r="T60" s="189">
        <v>0</v>
      </c>
      <c r="U60" s="189">
        <v>0</v>
      </c>
    </row>
    <row r="61" spans="1:21" s="190" customFormat="1" ht="12.75">
      <c r="A61" s="187">
        <f>+_XLL.FECHA.MES(A60,1)</f>
        <v>40497</v>
      </c>
      <c r="B61" s="189">
        <v>0</v>
      </c>
      <c r="C61" s="189">
        <v>0</v>
      </c>
      <c r="E61" s="200">
        <v>0</v>
      </c>
      <c r="F61" s="200">
        <v>0</v>
      </c>
      <c r="H61" s="189">
        <v>0</v>
      </c>
      <c r="I61" s="189">
        <v>0</v>
      </c>
      <c r="K61" s="189">
        <v>0</v>
      </c>
      <c r="L61" s="189">
        <v>0</v>
      </c>
      <c r="N61" s="189">
        <v>0</v>
      </c>
      <c r="O61" s="189">
        <v>0</v>
      </c>
      <c r="Q61" s="189">
        <v>0</v>
      </c>
      <c r="R61" s="189">
        <v>0</v>
      </c>
      <c r="T61" s="189">
        <v>0</v>
      </c>
      <c r="U61" s="189">
        <v>0</v>
      </c>
    </row>
    <row r="62" spans="1:21" s="190" customFormat="1" ht="12.75">
      <c r="A62" s="187">
        <f>+_XLL.FECHA.MES(A61,1)</f>
        <v>40527</v>
      </c>
      <c r="B62" s="189">
        <v>0</v>
      </c>
      <c r="C62" s="189">
        <v>0</v>
      </c>
      <c r="E62" s="200">
        <v>0</v>
      </c>
      <c r="F62" s="200">
        <v>0</v>
      </c>
      <c r="H62" s="189">
        <v>0</v>
      </c>
      <c r="I62" s="189">
        <v>0</v>
      </c>
      <c r="K62" s="189">
        <v>0</v>
      </c>
      <c r="L62" s="189">
        <v>0</v>
      </c>
      <c r="N62" s="189">
        <v>0</v>
      </c>
      <c r="O62" s="189">
        <v>0</v>
      </c>
      <c r="Q62" s="189">
        <v>0</v>
      </c>
      <c r="R62" s="189">
        <v>0</v>
      </c>
      <c r="T62" s="189">
        <v>0</v>
      </c>
      <c r="U62" s="189">
        <v>0</v>
      </c>
    </row>
    <row r="63" spans="1:21" s="190" customFormat="1" ht="12.75">
      <c r="A63" s="187">
        <f>+_XLL.FECHA.MES(A62,1)</f>
        <v>40558</v>
      </c>
      <c r="B63" s="189"/>
      <c r="C63" s="189">
        <v>0</v>
      </c>
      <c r="E63" s="200">
        <v>0</v>
      </c>
      <c r="F63" s="200">
        <v>0</v>
      </c>
      <c r="H63" s="189">
        <v>0</v>
      </c>
      <c r="I63" s="189">
        <v>0</v>
      </c>
      <c r="K63" s="189">
        <v>0</v>
      </c>
      <c r="L63" s="189">
        <v>0</v>
      </c>
      <c r="N63" s="189">
        <v>0</v>
      </c>
      <c r="O63" s="189">
        <v>0</v>
      </c>
      <c r="Q63" s="189">
        <v>0</v>
      </c>
      <c r="R63" s="189">
        <v>0</v>
      </c>
      <c r="T63" s="189">
        <v>0</v>
      </c>
      <c r="U63" s="189">
        <v>0</v>
      </c>
    </row>
    <row r="64" spans="1:21" s="190" customFormat="1" ht="12.75">
      <c r="A64" s="187">
        <f>+_XLL.FECHA.MES(A63,1)</f>
        <v>40589</v>
      </c>
      <c r="B64" s="189"/>
      <c r="C64" s="189">
        <v>0</v>
      </c>
      <c r="E64" s="200">
        <v>0</v>
      </c>
      <c r="F64" s="200">
        <v>0</v>
      </c>
      <c r="H64" s="189">
        <v>0</v>
      </c>
      <c r="I64" s="189">
        <v>0</v>
      </c>
      <c r="K64" s="189">
        <v>0</v>
      </c>
      <c r="L64" s="189">
        <v>0</v>
      </c>
      <c r="N64" s="189">
        <v>0</v>
      </c>
      <c r="O64" s="189">
        <v>0</v>
      </c>
      <c r="Q64" s="189">
        <v>0</v>
      </c>
      <c r="R64" s="189">
        <v>0</v>
      </c>
      <c r="T64" s="189">
        <v>0</v>
      </c>
      <c r="U64" s="189">
        <v>0</v>
      </c>
    </row>
    <row r="65" spans="1:21" s="190" customFormat="1" ht="12.75">
      <c r="A65" s="187">
        <f>+_XLL.FECHA.MES(A64,1)</f>
        <v>40617</v>
      </c>
      <c r="B65" s="189"/>
      <c r="C65" s="189">
        <v>0</v>
      </c>
      <c r="E65" s="200">
        <v>0</v>
      </c>
      <c r="F65" s="200">
        <v>0</v>
      </c>
      <c r="H65" s="189">
        <v>0</v>
      </c>
      <c r="I65" s="189">
        <v>0</v>
      </c>
      <c r="K65" s="189">
        <v>0</v>
      </c>
      <c r="L65" s="189">
        <v>0</v>
      </c>
      <c r="N65" s="189">
        <v>0</v>
      </c>
      <c r="O65" s="189">
        <v>0</v>
      </c>
      <c r="Q65" s="189">
        <v>0</v>
      </c>
      <c r="R65" s="189">
        <v>0</v>
      </c>
      <c r="T65" s="189">
        <v>0</v>
      </c>
      <c r="U65" s="189">
        <v>0</v>
      </c>
    </row>
    <row r="66" spans="1:21" s="190" customFormat="1" ht="12.75">
      <c r="A66" s="187">
        <f>+_XLL.FECHA.MES(A65,1)</f>
        <v>40648</v>
      </c>
      <c r="B66" s="189"/>
      <c r="C66" s="189">
        <v>0</v>
      </c>
      <c r="E66" s="200">
        <v>0</v>
      </c>
      <c r="F66" s="200">
        <v>0</v>
      </c>
      <c r="H66" s="189">
        <v>0</v>
      </c>
      <c r="I66" s="189">
        <v>0</v>
      </c>
      <c r="K66" s="189">
        <v>0</v>
      </c>
      <c r="L66" s="189">
        <v>0</v>
      </c>
      <c r="N66" s="189">
        <v>0</v>
      </c>
      <c r="O66" s="189">
        <v>0</v>
      </c>
      <c r="Q66" s="189">
        <v>0</v>
      </c>
      <c r="R66" s="189">
        <v>0</v>
      </c>
      <c r="T66" s="189">
        <v>0</v>
      </c>
      <c r="U66" s="189">
        <v>0</v>
      </c>
    </row>
    <row r="67" spans="1:21" s="190" customFormat="1" ht="12.75">
      <c r="A67" s="187">
        <f>+_XLL.FECHA.MES(A66,1)</f>
        <v>40678</v>
      </c>
      <c r="B67" s="189"/>
      <c r="C67" s="189">
        <v>0</v>
      </c>
      <c r="E67" s="200">
        <v>0</v>
      </c>
      <c r="F67" s="200">
        <v>0</v>
      </c>
      <c r="H67" s="189">
        <v>0</v>
      </c>
      <c r="I67" s="189">
        <v>0</v>
      </c>
      <c r="K67" s="189">
        <v>0</v>
      </c>
      <c r="L67" s="189">
        <v>0</v>
      </c>
      <c r="N67" s="189">
        <v>0</v>
      </c>
      <c r="O67" s="189">
        <v>0</v>
      </c>
      <c r="Q67" s="189">
        <v>0</v>
      </c>
      <c r="R67" s="189">
        <v>0</v>
      </c>
      <c r="T67" s="189">
        <v>0</v>
      </c>
      <c r="U67" s="189">
        <v>0</v>
      </c>
    </row>
    <row r="68" spans="1:21" s="190" customFormat="1" ht="12.75">
      <c r="A68" s="187">
        <f>+_XLL.FECHA.MES(A67,1)</f>
        <v>40709</v>
      </c>
      <c r="B68" s="189"/>
      <c r="C68" s="189">
        <v>0</v>
      </c>
      <c r="E68" s="200">
        <v>0</v>
      </c>
      <c r="F68" s="200">
        <v>0</v>
      </c>
      <c r="H68" s="189">
        <v>0</v>
      </c>
      <c r="I68" s="189">
        <v>0</v>
      </c>
      <c r="K68" s="189">
        <v>0</v>
      </c>
      <c r="L68" s="189">
        <v>0</v>
      </c>
      <c r="N68" s="189">
        <v>0</v>
      </c>
      <c r="O68" s="189">
        <v>0</v>
      </c>
      <c r="Q68" s="189">
        <v>0</v>
      </c>
      <c r="R68" s="189">
        <v>0</v>
      </c>
      <c r="T68" s="189">
        <v>0</v>
      </c>
      <c r="U68" s="189">
        <v>0</v>
      </c>
    </row>
    <row r="69" spans="1:21" s="190" customFormat="1" ht="12.75">
      <c r="A69" s="187">
        <f>+_XLL.FECHA.MES(A68,1)</f>
        <v>40739</v>
      </c>
      <c r="B69" s="189"/>
      <c r="C69" s="189">
        <v>0</v>
      </c>
      <c r="E69" s="200">
        <v>0</v>
      </c>
      <c r="F69" s="200">
        <v>0</v>
      </c>
      <c r="H69" s="189">
        <v>0</v>
      </c>
      <c r="I69" s="189">
        <v>0</v>
      </c>
      <c r="K69" s="189">
        <v>0</v>
      </c>
      <c r="L69" s="189">
        <v>0</v>
      </c>
      <c r="N69" s="189">
        <v>0</v>
      </c>
      <c r="O69" s="189">
        <v>0</v>
      </c>
      <c r="Q69" s="189">
        <v>0</v>
      </c>
      <c r="R69" s="189">
        <v>0</v>
      </c>
      <c r="T69" s="189">
        <v>0</v>
      </c>
      <c r="U69" s="189">
        <v>0</v>
      </c>
    </row>
    <row r="70" spans="1:21" s="190" customFormat="1" ht="12.75">
      <c r="A70" s="187">
        <f>+_XLL.FECHA.MES(A69,1)</f>
        <v>40770</v>
      </c>
      <c r="B70" s="189"/>
      <c r="C70" s="189">
        <v>0</v>
      </c>
      <c r="E70" s="200">
        <v>0</v>
      </c>
      <c r="F70" s="200">
        <v>0</v>
      </c>
      <c r="H70" s="189">
        <v>0</v>
      </c>
      <c r="I70" s="189">
        <v>0</v>
      </c>
      <c r="K70" s="189">
        <v>0</v>
      </c>
      <c r="L70" s="189">
        <v>0</v>
      </c>
      <c r="N70" s="189">
        <v>0</v>
      </c>
      <c r="O70" s="189">
        <v>0</v>
      </c>
      <c r="Q70" s="189">
        <v>0</v>
      </c>
      <c r="R70" s="189">
        <v>0</v>
      </c>
      <c r="T70" s="189">
        <v>0</v>
      </c>
      <c r="U70" s="189">
        <v>0</v>
      </c>
    </row>
    <row r="71" spans="1:21" s="190" customFormat="1" ht="12.75">
      <c r="A71" s="187">
        <f>+_XLL.FECHA.MES(A70,1)</f>
        <v>40801</v>
      </c>
      <c r="B71" s="189"/>
      <c r="C71" s="189">
        <v>0</v>
      </c>
      <c r="E71" s="200">
        <v>0</v>
      </c>
      <c r="F71" s="200">
        <v>0</v>
      </c>
      <c r="H71" s="189">
        <v>0</v>
      </c>
      <c r="I71" s="189">
        <v>0</v>
      </c>
      <c r="K71" s="189">
        <v>0</v>
      </c>
      <c r="L71" s="189">
        <v>0</v>
      </c>
      <c r="N71" s="189">
        <v>0</v>
      </c>
      <c r="O71" s="189">
        <v>0</v>
      </c>
      <c r="Q71" s="189">
        <v>0</v>
      </c>
      <c r="R71" s="189">
        <v>0</v>
      </c>
      <c r="T71" s="189">
        <v>0</v>
      </c>
      <c r="U71" s="189">
        <v>0</v>
      </c>
    </row>
    <row r="72" spans="1:21" s="190" customFormat="1" ht="12.75">
      <c r="A72" s="187">
        <f>+_XLL.FECHA.MES(A71,1)</f>
        <v>40831</v>
      </c>
      <c r="B72" s="189"/>
      <c r="C72" s="189">
        <v>0</v>
      </c>
      <c r="E72" s="200">
        <v>0</v>
      </c>
      <c r="F72" s="200">
        <v>0</v>
      </c>
      <c r="H72" s="189">
        <v>0</v>
      </c>
      <c r="I72" s="189">
        <v>0</v>
      </c>
      <c r="K72" s="189">
        <v>0</v>
      </c>
      <c r="L72" s="189">
        <v>0</v>
      </c>
      <c r="N72" s="189">
        <v>0</v>
      </c>
      <c r="O72" s="189">
        <v>0</v>
      </c>
      <c r="Q72" s="189">
        <v>0</v>
      </c>
      <c r="R72" s="189">
        <v>0</v>
      </c>
      <c r="T72" s="189">
        <v>0</v>
      </c>
      <c r="U72" s="189">
        <v>0</v>
      </c>
    </row>
    <row r="73" spans="1:21" s="190" customFormat="1" ht="12.75">
      <c r="A73" s="187">
        <f>+_XLL.FECHA.MES(A72,1)</f>
        <v>40862</v>
      </c>
      <c r="B73" s="189"/>
      <c r="C73" s="189">
        <v>0</v>
      </c>
      <c r="E73" s="200">
        <v>0</v>
      </c>
      <c r="F73" s="200">
        <v>0</v>
      </c>
      <c r="H73" s="189">
        <v>0</v>
      </c>
      <c r="I73" s="189">
        <v>0</v>
      </c>
      <c r="K73" s="189">
        <v>0</v>
      </c>
      <c r="L73" s="189">
        <v>0</v>
      </c>
      <c r="N73" s="189">
        <v>0</v>
      </c>
      <c r="O73" s="189">
        <v>0</v>
      </c>
      <c r="Q73" s="189">
        <v>0</v>
      </c>
      <c r="R73" s="189">
        <v>0</v>
      </c>
      <c r="T73" s="189">
        <v>0</v>
      </c>
      <c r="U73" s="189">
        <v>0</v>
      </c>
    </row>
    <row r="74" spans="1:21" s="190" customFormat="1" ht="12.75">
      <c r="A74" s="187">
        <f>+_XLL.FECHA.MES(A73,1)</f>
        <v>40892</v>
      </c>
      <c r="B74" s="189"/>
      <c r="C74" s="189">
        <v>0</v>
      </c>
      <c r="E74" s="200">
        <v>0</v>
      </c>
      <c r="F74" s="200">
        <v>0</v>
      </c>
      <c r="H74" s="189">
        <v>0</v>
      </c>
      <c r="I74" s="189">
        <v>0</v>
      </c>
      <c r="K74" s="189">
        <v>0</v>
      </c>
      <c r="L74" s="189">
        <v>0</v>
      </c>
      <c r="N74" s="189">
        <v>0</v>
      </c>
      <c r="O74" s="189">
        <v>0</v>
      </c>
      <c r="Q74" s="189">
        <v>0</v>
      </c>
      <c r="R74" s="189">
        <v>0</v>
      </c>
      <c r="T74" s="189">
        <v>0</v>
      </c>
      <c r="U74" s="189">
        <v>0</v>
      </c>
    </row>
    <row r="75" spans="1:21" s="190" customFormat="1" ht="12.75">
      <c r="A75" s="187">
        <f>+_XLL.FECHA.MES(A74,1)</f>
        <v>40923</v>
      </c>
      <c r="B75" s="189"/>
      <c r="C75" s="189">
        <v>0</v>
      </c>
      <c r="E75" s="200">
        <v>0</v>
      </c>
      <c r="F75" s="200">
        <v>0</v>
      </c>
      <c r="H75" s="189">
        <v>0</v>
      </c>
      <c r="I75" s="189">
        <v>0</v>
      </c>
      <c r="K75" s="189">
        <v>0</v>
      </c>
      <c r="L75" s="189">
        <v>0</v>
      </c>
      <c r="N75" s="189">
        <v>0</v>
      </c>
      <c r="O75" s="189">
        <v>0</v>
      </c>
      <c r="Q75" s="189">
        <v>0</v>
      </c>
      <c r="R75" s="189">
        <v>0</v>
      </c>
      <c r="T75" s="189">
        <v>0</v>
      </c>
      <c r="U75" s="189">
        <v>0</v>
      </c>
    </row>
    <row r="76" spans="1:21" s="190" customFormat="1" ht="12.75">
      <c r="A76" s="187">
        <f>+_XLL.FECHA.MES(A75,1)</f>
        <v>40954</v>
      </c>
      <c r="B76" s="189"/>
      <c r="C76" s="189">
        <v>0</v>
      </c>
      <c r="E76" s="200">
        <v>0</v>
      </c>
      <c r="F76" s="200">
        <v>0</v>
      </c>
      <c r="H76" s="189">
        <v>0</v>
      </c>
      <c r="I76" s="189">
        <v>0</v>
      </c>
      <c r="K76" s="189">
        <v>0</v>
      </c>
      <c r="L76" s="189">
        <v>0</v>
      </c>
      <c r="N76" s="189">
        <v>0</v>
      </c>
      <c r="O76" s="189">
        <v>0</v>
      </c>
      <c r="Q76" s="189">
        <v>0</v>
      </c>
      <c r="R76" s="189">
        <v>0</v>
      </c>
      <c r="T76" s="189">
        <v>0</v>
      </c>
      <c r="U76" s="189">
        <v>0</v>
      </c>
    </row>
    <row r="77" spans="1:21" s="190" customFormat="1" ht="12.75">
      <c r="A77" s="187">
        <f>+_XLL.FECHA.MES(A76,1)</f>
        <v>40983</v>
      </c>
      <c r="B77" s="189"/>
      <c r="C77" s="189">
        <v>0</v>
      </c>
      <c r="E77" s="200">
        <v>0</v>
      </c>
      <c r="F77" s="200">
        <v>0</v>
      </c>
      <c r="H77" s="189">
        <v>0</v>
      </c>
      <c r="I77" s="189">
        <v>0</v>
      </c>
      <c r="K77" s="189">
        <v>0</v>
      </c>
      <c r="L77" s="189">
        <v>0</v>
      </c>
      <c r="N77" s="189">
        <v>0</v>
      </c>
      <c r="O77" s="189">
        <v>0</v>
      </c>
      <c r="Q77" s="189">
        <v>0</v>
      </c>
      <c r="R77" s="189">
        <v>0</v>
      </c>
      <c r="T77" s="189">
        <v>0</v>
      </c>
      <c r="U77" s="189">
        <v>0</v>
      </c>
    </row>
    <row r="78" spans="1:21" s="190" customFormat="1" ht="12.75">
      <c r="A78" s="187">
        <f>+_XLL.FECHA.MES(A77,1)</f>
        <v>41014</v>
      </c>
      <c r="B78" s="189"/>
      <c r="C78" s="189">
        <v>0</v>
      </c>
      <c r="E78" s="200">
        <v>0</v>
      </c>
      <c r="F78" s="200">
        <v>0</v>
      </c>
      <c r="H78" s="189">
        <v>0</v>
      </c>
      <c r="I78" s="189">
        <v>0</v>
      </c>
      <c r="K78" s="189">
        <v>0</v>
      </c>
      <c r="L78" s="189">
        <v>0</v>
      </c>
      <c r="N78" s="189">
        <v>0</v>
      </c>
      <c r="O78" s="189">
        <v>0</v>
      </c>
      <c r="Q78" s="189">
        <v>0</v>
      </c>
      <c r="R78" s="189">
        <v>0</v>
      </c>
      <c r="T78" s="189">
        <v>0</v>
      </c>
      <c r="U78" s="189">
        <v>0</v>
      </c>
    </row>
    <row r="79" spans="1:21" s="190" customFormat="1" ht="12.75">
      <c r="A79" s="187">
        <f>+_XLL.FECHA.MES(A78,1)</f>
        <v>41044</v>
      </c>
      <c r="B79" s="189"/>
      <c r="C79" s="189">
        <v>0</v>
      </c>
      <c r="E79" s="200">
        <v>0</v>
      </c>
      <c r="F79" s="200">
        <v>0</v>
      </c>
      <c r="H79" s="189">
        <v>0</v>
      </c>
      <c r="I79" s="189">
        <v>0</v>
      </c>
      <c r="K79" s="189">
        <v>0</v>
      </c>
      <c r="L79" s="189">
        <v>0</v>
      </c>
      <c r="N79" s="189">
        <v>0</v>
      </c>
      <c r="O79" s="189">
        <v>0</v>
      </c>
      <c r="Q79" s="189">
        <v>0</v>
      </c>
      <c r="R79" s="189">
        <v>0</v>
      </c>
      <c r="T79" s="189">
        <v>0</v>
      </c>
      <c r="U79" s="189">
        <v>0</v>
      </c>
    </row>
    <row r="80" spans="1:21" s="190" customFormat="1" ht="12.75">
      <c r="A80" s="187">
        <f>+_XLL.FECHA.MES(A79,1)</f>
        <v>41075</v>
      </c>
      <c r="B80" s="189"/>
      <c r="C80" s="189">
        <v>0</v>
      </c>
      <c r="E80" s="200">
        <v>0</v>
      </c>
      <c r="F80" s="200">
        <v>0</v>
      </c>
      <c r="H80" s="189">
        <v>0</v>
      </c>
      <c r="I80" s="189">
        <v>0</v>
      </c>
      <c r="K80" s="189">
        <v>0</v>
      </c>
      <c r="L80" s="189">
        <v>0</v>
      </c>
      <c r="N80" s="189">
        <v>0</v>
      </c>
      <c r="O80" s="189">
        <v>0</v>
      </c>
      <c r="Q80" s="189">
        <v>0</v>
      </c>
      <c r="R80" s="189">
        <v>0</v>
      </c>
      <c r="T80" s="189">
        <v>0</v>
      </c>
      <c r="U80" s="189">
        <v>0</v>
      </c>
    </row>
    <row r="81" spans="1:21" s="190" customFormat="1" ht="12.75">
      <c r="A81" s="187">
        <f>+_XLL.FECHA.MES(A80,1)</f>
        <v>41105</v>
      </c>
      <c r="B81" s="189"/>
      <c r="C81" s="189">
        <v>0</v>
      </c>
      <c r="E81" s="200">
        <v>0</v>
      </c>
      <c r="F81" s="200">
        <v>0</v>
      </c>
      <c r="H81" s="189">
        <v>0</v>
      </c>
      <c r="I81" s="189">
        <v>0</v>
      </c>
      <c r="K81" s="189">
        <v>0</v>
      </c>
      <c r="L81" s="189">
        <v>0</v>
      </c>
      <c r="N81" s="189">
        <v>0</v>
      </c>
      <c r="O81" s="189">
        <v>0</v>
      </c>
      <c r="Q81" s="189">
        <v>0</v>
      </c>
      <c r="R81" s="189">
        <v>0</v>
      </c>
      <c r="T81" s="189">
        <v>0</v>
      </c>
      <c r="U81" s="189">
        <v>0</v>
      </c>
    </row>
    <row r="82" spans="1:21" s="190" customFormat="1" ht="12.75">
      <c r="A82" s="187">
        <f>+_XLL.FECHA.MES(A81,1)</f>
        <v>41136</v>
      </c>
      <c r="B82" s="189"/>
      <c r="C82" s="189">
        <v>0</v>
      </c>
      <c r="E82" s="200">
        <v>0</v>
      </c>
      <c r="F82" s="200">
        <v>0</v>
      </c>
      <c r="H82" s="189">
        <v>0</v>
      </c>
      <c r="I82" s="189">
        <v>0</v>
      </c>
      <c r="K82" s="189">
        <v>0</v>
      </c>
      <c r="L82" s="189">
        <v>0</v>
      </c>
      <c r="N82" s="189">
        <v>0</v>
      </c>
      <c r="O82" s="189">
        <v>0</v>
      </c>
      <c r="Q82" s="189">
        <v>0</v>
      </c>
      <c r="R82" s="189">
        <v>0</v>
      </c>
      <c r="T82" s="189">
        <v>0</v>
      </c>
      <c r="U82" s="189">
        <v>0</v>
      </c>
    </row>
    <row r="83" spans="1:21" s="190" customFormat="1" ht="12.75">
      <c r="A83" s="187">
        <f>+_XLL.FECHA.MES(A82,1)</f>
        <v>41167</v>
      </c>
      <c r="B83" s="189"/>
      <c r="C83" s="189">
        <v>0</v>
      </c>
      <c r="E83" s="200">
        <v>0</v>
      </c>
      <c r="F83" s="200">
        <v>0</v>
      </c>
      <c r="H83" s="189">
        <v>0</v>
      </c>
      <c r="I83" s="189">
        <v>0</v>
      </c>
      <c r="K83" s="189">
        <v>0</v>
      </c>
      <c r="L83" s="189">
        <v>0</v>
      </c>
      <c r="N83" s="189">
        <v>0</v>
      </c>
      <c r="O83" s="189">
        <v>0</v>
      </c>
      <c r="Q83" s="189">
        <v>0</v>
      </c>
      <c r="R83" s="189">
        <v>0</v>
      </c>
      <c r="T83" s="189">
        <v>0</v>
      </c>
      <c r="U83" s="189">
        <v>0</v>
      </c>
    </row>
    <row r="84" spans="1:21" s="190" customFormat="1" ht="12.75">
      <c r="A84" s="187">
        <f>+_XLL.FECHA.MES(A83,1)</f>
        <v>41197</v>
      </c>
      <c r="B84" s="189"/>
      <c r="C84" s="189">
        <v>0</v>
      </c>
      <c r="E84" s="200">
        <v>0</v>
      </c>
      <c r="F84" s="200">
        <v>0</v>
      </c>
      <c r="H84" s="189">
        <v>0</v>
      </c>
      <c r="I84" s="189">
        <v>0</v>
      </c>
      <c r="K84" s="189">
        <v>0</v>
      </c>
      <c r="L84" s="189">
        <v>0</v>
      </c>
      <c r="N84" s="189">
        <v>0</v>
      </c>
      <c r="O84" s="189">
        <v>0</v>
      </c>
      <c r="Q84" s="189">
        <v>0</v>
      </c>
      <c r="R84" s="189">
        <v>0</v>
      </c>
      <c r="T84" s="189">
        <v>0</v>
      </c>
      <c r="U84" s="189">
        <v>0</v>
      </c>
    </row>
    <row r="85" spans="1:21" s="190" customFormat="1" ht="12.75">
      <c r="A85" s="187">
        <f>+_XLL.FECHA.MES(A84,1)</f>
        <v>41228</v>
      </c>
      <c r="B85" s="189"/>
      <c r="C85" s="189">
        <v>0</v>
      </c>
      <c r="E85" s="200">
        <v>0</v>
      </c>
      <c r="F85" s="200">
        <v>0</v>
      </c>
      <c r="H85" s="189">
        <v>0</v>
      </c>
      <c r="I85" s="189">
        <v>0</v>
      </c>
      <c r="K85" s="189">
        <v>0</v>
      </c>
      <c r="L85" s="189">
        <v>0</v>
      </c>
      <c r="N85" s="189">
        <v>0</v>
      </c>
      <c r="O85" s="189">
        <v>0</v>
      </c>
      <c r="Q85" s="189">
        <v>0</v>
      </c>
      <c r="R85" s="189">
        <v>0</v>
      </c>
      <c r="T85" s="189">
        <v>0</v>
      </c>
      <c r="U85" s="189">
        <v>0</v>
      </c>
    </row>
    <row r="86" spans="1:21" s="190" customFormat="1" ht="13.5" thickBot="1">
      <c r="A86" s="195">
        <f>+_XLL.FECHA.MES(A85,1)</f>
        <v>41258</v>
      </c>
      <c r="B86" s="196"/>
      <c r="C86" s="196">
        <v>0.00608004</v>
      </c>
      <c r="E86" s="201">
        <v>0</v>
      </c>
      <c r="F86" s="201">
        <v>0</v>
      </c>
      <c r="H86" s="196">
        <v>0</v>
      </c>
      <c r="I86" s="196">
        <v>0</v>
      </c>
      <c r="K86" s="196">
        <v>0</v>
      </c>
      <c r="L86" s="196">
        <v>0</v>
      </c>
      <c r="N86" s="196">
        <v>0</v>
      </c>
      <c r="O86" s="196">
        <v>0</v>
      </c>
      <c r="Q86" s="196">
        <v>0</v>
      </c>
      <c r="R86" s="196">
        <v>0</v>
      </c>
      <c r="T86" s="196">
        <v>0</v>
      </c>
      <c r="U86" s="196">
        <v>0</v>
      </c>
    </row>
    <row r="87" spans="2:21" s="197" customFormat="1" ht="12.75">
      <c r="B87" s="198">
        <f>SUM(B3:B86)</f>
        <v>1</v>
      </c>
      <c r="C87" s="198">
        <f>SUM(C3:C86)</f>
        <v>0.9999999999999999</v>
      </c>
      <c r="E87" s="198">
        <f>SUM(E3:E86)</f>
        <v>1</v>
      </c>
      <c r="F87" s="198">
        <f>SUM(F3:F86)</f>
        <v>0.9999999999999999</v>
      </c>
      <c r="H87" s="198">
        <f>SUM(H3:H86)</f>
        <v>1</v>
      </c>
      <c r="I87" s="198">
        <f>SUM(I3:I86)</f>
        <v>0.9999999999999999</v>
      </c>
      <c r="K87" s="198">
        <f>SUM(K3:K86)</f>
        <v>1</v>
      </c>
      <c r="L87" s="198">
        <f>SUM(L3:L86)</f>
        <v>0.9999999999999999</v>
      </c>
      <c r="N87" s="198">
        <f>SUM(N3:N86)</f>
        <v>1</v>
      </c>
      <c r="O87" s="198">
        <f>SUM(O3:O86)</f>
        <v>0.9999999999999999</v>
      </c>
      <c r="Q87" s="198">
        <f>SUM(Q3:Q86)</f>
        <v>1</v>
      </c>
      <c r="R87" s="198">
        <f>SUM(R3:R86)</f>
        <v>0.9999999999999999</v>
      </c>
      <c r="T87" s="198">
        <f>SUM(T3:T86)</f>
        <v>1</v>
      </c>
      <c r="U87" s="198">
        <f>SUM(U3:U86)</f>
        <v>0.9999999999999999</v>
      </c>
    </row>
    <row r="88" ht="12.75">
      <c r="C88" s="197"/>
    </row>
  </sheetData>
  <sheetProtection/>
  <mergeCells count="7">
    <mergeCell ref="Q1:R1"/>
    <mergeCell ref="T1:U1"/>
    <mergeCell ref="B1:C1"/>
    <mergeCell ref="H1:I1"/>
    <mergeCell ref="K1:L1"/>
    <mergeCell ref="N1:O1"/>
    <mergeCell ref="E1:F1"/>
  </mergeCells>
  <conditionalFormatting sqref="B87:C87 T87:U87 H87:I87 K87:L87 N87:O87 Q87:R87 E87:F87">
    <cfRule type="cellIs" priority="1" dxfId="0" operator="notEqual" stopIfTrue="1">
      <formula>1</formula>
    </cfRule>
  </conditionalFormatting>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aamezquita</cp:lastModifiedBy>
  <cp:lastPrinted>2004-06-07T16:23:58Z</cp:lastPrinted>
  <dcterms:created xsi:type="dcterms:W3CDTF">2002-04-18T20:31:17Z</dcterms:created>
  <dcterms:modified xsi:type="dcterms:W3CDTF">2007-06-15T14:55:08Z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-1543340887</vt:i4>
  </property>
  <property fmtid="{D5CDD505-2E9C-101B-9397-08002B2CF9AE}" pid="3" name="_EmailSubject">
    <vt:lpwstr>Calculadora Sep 03.xls</vt:lpwstr>
  </property>
  <property fmtid="{D5CDD505-2E9C-101B-9397-08002B2CF9AE}" pid="4" name="_AuthorEmail">
    <vt:lpwstr>ruribe@titularizadora.com</vt:lpwstr>
  </property>
  <property fmtid="{D5CDD505-2E9C-101B-9397-08002B2CF9AE}" pid="5" name="_AuthorEmailDisplayName">
    <vt:lpwstr>Ricardo Uribe</vt:lpwstr>
  </property>
  <property fmtid="{D5CDD505-2E9C-101B-9397-08002B2CF9AE}" pid="6" name="_PreviousAdHocReviewCycleID">
    <vt:i4>-1151320205</vt:i4>
  </property>
  <property fmtid="{D5CDD505-2E9C-101B-9397-08002B2CF9AE}" pid="7" name="_ReviewingToolsShownOnce">
    <vt:lpwstr/>
  </property>
</Properties>
</file>