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36" yWindow="180" windowWidth="12120" windowHeight="4155" tabRatio="658" activeTab="0"/>
  </bookViews>
  <sheets>
    <sheet name="CALCULADORA TIL L-1" sheetId="1" r:id="rId1"/>
    <sheet name="Características" sheetId="2" state="hidden" r:id="rId2"/>
    <sheet name="Flujos" sheetId="3" r:id="rId3"/>
    <sheet name="Tablas" sheetId="4" state="hidden" r:id="rId4"/>
    <sheet name="Tabla de Amortizacion" sheetId="5" state="hidden" r:id="rId5"/>
    <sheet name="Exclusión" sheetId="6" r:id="rId6"/>
  </sheets>
  <definedNames/>
  <calcPr fullCalcOnLoad="1"/>
</workbook>
</file>

<file path=xl/sharedStrings.xml><?xml version="1.0" encoding="utf-8"?>
<sst xmlns="http://schemas.openxmlformats.org/spreadsheetml/2006/main" count="101" uniqueCount="85">
  <si>
    <t>FECHA</t>
  </si>
  <si>
    <t>Tabla de Amortización Valoración</t>
  </si>
  <si>
    <t>Serie</t>
  </si>
  <si>
    <t>Días corridos</t>
  </si>
  <si>
    <t>Fecha de liquidación</t>
  </si>
  <si>
    <t>Fecha último pago cupón</t>
  </si>
  <si>
    <t>Valor Par</t>
  </si>
  <si>
    <t>Próximo pago de interés</t>
  </si>
  <si>
    <t>Días entre flujos</t>
  </si>
  <si>
    <t>Cupón corrido</t>
  </si>
  <si>
    <t>VPN</t>
  </si>
  <si>
    <t>Precio limpio</t>
  </si>
  <si>
    <t>Nemo MEC</t>
  </si>
  <si>
    <t>Emisión</t>
  </si>
  <si>
    <t>Vencimiento contractual</t>
  </si>
  <si>
    <t>Cupón EA</t>
  </si>
  <si>
    <t>Moneda</t>
  </si>
  <si>
    <t>COP</t>
  </si>
  <si>
    <t>Control</t>
  </si>
  <si>
    <t>Mes inicial</t>
  </si>
  <si>
    <t>Contractual</t>
  </si>
  <si>
    <t>Valoración</t>
  </si>
  <si>
    <t>Días iniciales</t>
  </si>
  <si>
    <t>Nominal</t>
  </si>
  <si>
    <t>Contravalor</t>
  </si>
  <si>
    <t>Precio unitario</t>
  </si>
  <si>
    <t>Cálculo de tasa y precio sucio a partir del limpio</t>
  </si>
  <si>
    <t>Precio sucio MEC</t>
  </si>
  <si>
    <t>Precio sucio modelo</t>
  </si>
  <si>
    <t>Diferencia</t>
  </si>
  <si>
    <t>Tasa de descuento equivalente</t>
  </si>
  <si>
    <t>Tasa de descuento</t>
  </si>
  <si>
    <t>Factor Saldo</t>
  </si>
  <si>
    <t>Factor Capital</t>
  </si>
  <si>
    <t>Factor Intereses</t>
  </si>
  <si>
    <t>Factor Total</t>
  </si>
  <si>
    <t>Totales</t>
  </si>
  <si>
    <t>Cálculo de precio limpio y sucio a partir de tasa</t>
  </si>
  <si>
    <t>6% (Medio)</t>
  </si>
  <si>
    <t>10% (Medio Alto)</t>
  </si>
  <si>
    <t>14% (Alto)</t>
  </si>
  <si>
    <t>Escenario de Amortización Contractual</t>
  </si>
  <si>
    <t>Escenario de Prepago  6% (Medio)</t>
  </si>
  <si>
    <t>Escenario de Prepago  10% (Medio Alto)</t>
  </si>
  <si>
    <t>Escenario de Prepago  14% (Alto)</t>
  </si>
  <si>
    <t>Escenario de Prepago  20%</t>
  </si>
  <si>
    <t>Días Hábiles</t>
  </si>
  <si>
    <t>ISIN</t>
  </si>
  <si>
    <t>Volver</t>
  </si>
  <si>
    <t>“Multiactivos STANH publica el presente documento con un carácter estrictamente informativo para los inversionistas. Aunque la información aquí contenida ha sido obtenida de fuentes que la compañía considera confiables, Multiactivos STANH no garantiza su exactitud. En ningún caso su contenido se puede considerar como una opinión financiera o legal ni como una recomendación de negocios o de inversión por parte de nuestra compañía. Tampoco puede ser considerado como una invitación a realizar negocios ni como una oferta para comprar o vender ningún tipo de valor. En ningún caso Multiactivos STANH asume responsabilidad por las decisiones de inversión que se tomen, o el resultado de cualquier operación que se efectúe por parte de los destinatarios o de terceras personas, sobre la información aquí contenida. Tal responsabilidad es exclusiva de los inversionistas que hagan uso de ella. Dicha información puede tener variaciones posteriores a la fecha de su publicación razón por la cual Multiactivos STANH se reserva el derecho de modificarla o actualizarla en cualquier tiempo y sin previo aviso.”</t>
  </si>
  <si>
    <t>TIL Pesos L-1 A 2019</t>
  </si>
  <si>
    <t>STILA4170919</t>
  </si>
  <si>
    <t>COT80CHGRALTYITIL0AD0001</t>
  </si>
  <si>
    <t>CALCULADORA DE PRECIOS TIL PESOS L-1 / PRICE CALCULATOR TIL PESOS L-1</t>
  </si>
  <si>
    <t>Serie Seleccionada  / Selected Tranche</t>
  </si>
  <si>
    <t xml:space="preserve">Fecha de liquidación / Settlement Date </t>
  </si>
  <si>
    <t xml:space="preserve">Características / Characteristics </t>
  </si>
  <si>
    <t xml:space="preserve">Nemotécnico MEC </t>
  </si>
  <si>
    <t>Fecha de Emisión / Issue Date</t>
  </si>
  <si>
    <t>Vencimiento Contractual / Contractual Maturity Date</t>
  </si>
  <si>
    <t>Tasa Facial Efectiva Anual / Effective Coupon Rate</t>
  </si>
  <si>
    <t xml:space="preserve">Tasa Facial Nominal Anual / Nominal Coupon Rate </t>
  </si>
  <si>
    <t>Moneda / Currency</t>
  </si>
  <si>
    <t xml:space="preserve">Vida Media Restante / Average Life </t>
  </si>
  <si>
    <t>Vida Media desde Emisión / Average Life since Issue</t>
  </si>
  <si>
    <t xml:space="preserve">Duración Macaulay / Macaulay Duration </t>
  </si>
  <si>
    <t xml:space="preserve">Duración Modificada / Modified Duration </t>
  </si>
  <si>
    <t>Exclusión de responsabilidad / Disclaimer</t>
  </si>
  <si>
    <t xml:space="preserve">Celdas modificables / Modifiable Cells </t>
  </si>
  <si>
    <t>Cálculo de precio y rentabilidad / Price and Yield Calculation</t>
  </si>
  <si>
    <t>Escenario de Prepagos / Prepayment Scenario</t>
  </si>
  <si>
    <t>Tasa de Descuento EA / Discount Rate EA</t>
  </si>
  <si>
    <t xml:space="preserve">Precio Limpio / Clean Price </t>
  </si>
  <si>
    <t xml:space="preserve">Precio Sucio / Dirty Price </t>
  </si>
  <si>
    <t>Vencimiento Estimado / Estimated Maturity</t>
  </si>
  <si>
    <t>Restante por 100 de Inicial / Outstanding Amount for 100 Initial Amount</t>
  </si>
  <si>
    <t>Nominal Restante a transar / Nominal Amount Outstanding to Trade</t>
  </si>
  <si>
    <t>Contravalor (Valoración) / Market Value (Valuation)</t>
  </si>
  <si>
    <t>Fecha / Date</t>
  </si>
  <si>
    <t>Días 365 / Days 365</t>
  </si>
  <si>
    <t>Amortización / Amortization</t>
  </si>
  <si>
    <t>Saldo / Balance</t>
  </si>
  <si>
    <t>Flujo de Capital / Principal Flow</t>
  </si>
  <si>
    <t>Flujo de Intereses / Interest Flow</t>
  </si>
  <si>
    <t>Flujo Total /       Total Flow</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</si>
</sst>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 #,##0_-;\-* #,##0_-;_-* &quot;-&quot;_-;_-@_-"/>
    <numFmt numFmtId="170" formatCode="_-&quot;XDR&quot;* #,##0.00_-;\-&quot;XDR&quot;* #,##0.00_-;_-&quot;XDR&quot;* &quot;-&quot;??_-;_-@_-"/>
    <numFmt numFmtId="171" formatCode="_-* #,##0.00_-;\-* #,##0.00_-;_-* &quot;-&quot;??_-;_-@_-"/>
    <numFmt numFmtId="172" formatCode="_ * #,##0_ ;_ * \-#,##0_ ;_ * &quot;-&quot;_ ;_ @_ "/>
    <numFmt numFmtId="173" formatCode="_ * #,##0.00_ ;_ * \-#,##0.00_ ;_ * &quot;-&quot;??_ ;_ @_ "/>
    <numFmt numFmtId="174" formatCode="_-* #,##0\ &quot;pta&quot;_-;\-* #,##0\ &quot;pta&quot;_-;_-* &quot;-&quot;\ &quot;pta&quot;_-;_-@_-"/>
    <numFmt numFmtId="175" formatCode="_-* #,##0\ _p_t_a_-;\-* #,##0\ _p_t_a_-;_-* &quot;-&quot;\ _p_t_a_-;_-@_-"/>
    <numFmt numFmtId="176" formatCode="_-* #,##0.00\ &quot;pta&quot;_-;\-* #,##0.00\ &quot;pta&quot;_-;_-* &quot;-&quot;??\ &quot;pta&quot;_-;_-@_-"/>
    <numFmt numFmtId="177" formatCode="_-* #,##0.00\ _p_t_a_-;\-* #,##0.00\ _p_t_a_-;_-* &quot;-&quot;??\ _p_t_a_-;_-@_-"/>
    <numFmt numFmtId="178" formatCode="0.00000%"/>
    <numFmt numFmtId="179" formatCode="0.000%"/>
    <numFmt numFmtId="180" formatCode="_ * #,##0_ ;_ * \-#,##0_ ;_ * &quot;-&quot;??_ ;_ @_ "/>
    <numFmt numFmtId="181" formatCode="0.000000000%"/>
    <numFmt numFmtId="182" formatCode="0.0000000%"/>
    <numFmt numFmtId="183" formatCode="#,##0.000000_ ;\-#,##0.000000\ "/>
    <numFmt numFmtId="184" formatCode="#,##0.000_ ;\-#,##0.000\ "/>
    <numFmt numFmtId="185" formatCode="_-* #,##0\ _p_t_a_-;\-* #,##0\ _p_t_a_-;_-* &quot;-&quot;??\ _p_t_a_-;_-@_-"/>
    <numFmt numFmtId="186" formatCode="0.000000%"/>
    <numFmt numFmtId="187" formatCode="_ * #,##0.000_ ;_ * \-#,##0.000_ ;_ * &quot;-&quot;??_ ;_ @_ "/>
    <numFmt numFmtId="188" formatCode="_ * #,##0.0000_ ;_ * \-#,##0.0000_ ;_ * &quot;-&quot;??_ ;_ @_ "/>
    <numFmt numFmtId="189" formatCode="_ * #,##0.00000_ ;_ * \-#,##0.00000_ ;_ * &quot;-&quot;??_ ;_ @_ "/>
    <numFmt numFmtId="190" formatCode="_ * #,##0.000000_ ;_ * \-#,##0.000000_ ;_ * &quot;-&quot;??_ ;_ @_ "/>
    <numFmt numFmtId="191" formatCode="#,##0_ ;\-#,##0\ "/>
    <numFmt numFmtId="192" formatCode="_ * #,##0.0000_ ;_ * \-#,##0.0000_ ;_ * &quot;-&quot;????_ ;_ @_ "/>
    <numFmt numFmtId="193" formatCode="_-* #,##0.0000\ _p_t_a_-;\-* #,##0.0000\ _p_t_a_-;_-* &quot;-&quot;??\ _p_t_a_-;_-@_-"/>
    <numFmt numFmtId="194" formatCode="_ &quot;$&quot;\ * #,##0.00_ ;_ &quot;$&quot;\ * \-#,##0.00_ ;_ &quot;$&quot;\ * &quot;-&quot;??_ ;_ @_ "/>
    <numFmt numFmtId="195" formatCode="mmm\-yyyy"/>
    <numFmt numFmtId="196" formatCode="_-&quot;$&quot;* #,##0_-;\-&quot;$&quot;* #,##0_-;_-&quot;$&quot;* &quot;-&quot;_-;_-@_-"/>
    <numFmt numFmtId="197" formatCode="[$-240A]d&quot; de &quot;mmmm&quot; de &quot;yyyy;@"/>
    <numFmt numFmtId="198" formatCode="[$-409]mmmm\ d\,\ yyyy;@"/>
    <numFmt numFmtId="199" formatCode="&quot;$&quot;\ #,##0;[Red]&quot;$&quot;\ \-#,##0"/>
    <numFmt numFmtId="200" formatCode="dd\ &quot;de&quot;\ mmmm"/>
    <numFmt numFmtId="201" formatCode="_ &quot;$&quot;\ * #,##0_ ;_ &quot;$&quot;\ * \-#,##0_ ;_ &quot;$&quot;\ * &quot;-&quot;_ ;_ @_ "/>
    <numFmt numFmtId="202" formatCode="0.00000000000%"/>
    <numFmt numFmtId="203" formatCode="d/mm/yyyy;@"/>
    <numFmt numFmtId="204" formatCode="&quot;Sí&quot;;&quot;Sí&quot;;&quot;No&quot;"/>
    <numFmt numFmtId="205" formatCode="&quot;Verdadero&quot;;&quot;Verdadero&quot;;&quot;Falso&quot;"/>
    <numFmt numFmtId="206" formatCode="&quot;Activado&quot;;&quot;Activado&quot;;&quot;Desactivado&quot;"/>
    <numFmt numFmtId="207" formatCode="[$€-2]\ #,##0.00_);[Red]\([$€-2]\ #,##0.00\)"/>
    <numFmt numFmtId="208" formatCode="0.000000000000%"/>
    <numFmt numFmtId="209" formatCode="0.0000000000000%"/>
  </numFmts>
  <fonts count="54">
    <font>
      <sz val="10"/>
      <name val="Arial"/>
      <family val="0"/>
    </font>
    <font>
      <u val="single"/>
      <sz val="10"/>
      <color indexed="12"/>
      <name val="Arial"/>
      <family val="2"/>
    </font>
    <font>
      <u val="single"/>
      <sz val="10"/>
      <color indexed="36"/>
      <name val="Arial"/>
      <family val="2"/>
    </font>
    <font>
      <sz val="8"/>
      <name val="Arial"/>
      <family val="2"/>
    </font>
    <font>
      <b/>
      <sz val="10"/>
      <name val="Arial"/>
      <family val="2"/>
    </font>
    <font>
      <b/>
      <sz val="10"/>
      <name val="Tahoma"/>
      <family val="2"/>
    </font>
    <font>
      <sz val="10"/>
      <name val="Tahoma"/>
      <family val="2"/>
    </font>
    <font>
      <sz val="10"/>
      <color indexed="18"/>
      <name val="Tahoma"/>
      <family val="2"/>
    </font>
    <font>
      <b/>
      <sz val="10"/>
      <color indexed="18"/>
      <name val="Tahoma"/>
      <family val="2"/>
    </font>
    <font>
      <b/>
      <sz val="10"/>
      <color indexed="9"/>
      <name val="Tahoma"/>
      <family val="2"/>
    </font>
    <font>
      <b/>
      <sz val="10"/>
      <color indexed="8"/>
      <name val="Tahoma"/>
      <family val="2"/>
    </font>
    <font>
      <b/>
      <sz val="10"/>
      <color indexed="10"/>
      <name val="Tahoma"/>
      <family val="2"/>
    </font>
    <font>
      <sz val="10"/>
      <color indexed="10"/>
      <name val="Tahoma"/>
      <family val="2"/>
    </font>
    <font>
      <b/>
      <sz val="8"/>
      <color indexed="10"/>
      <name val="Arial"/>
      <family val="2"/>
    </font>
    <font>
      <b/>
      <sz val="8"/>
      <color indexed="8"/>
      <name val="Arial"/>
      <family val="2"/>
    </font>
    <font>
      <sz val="8"/>
      <color indexed="8"/>
      <name val="Arial"/>
      <family val="2"/>
    </font>
    <font>
      <b/>
      <sz val="8"/>
      <color indexed="3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0"/>
      <name val="Tahoma"/>
      <family val="2"/>
    </font>
    <font>
      <b/>
      <sz val="10"/>
      <color rgb="FF000099"/>
      <name val="Tahoma"/>
      <family val="2"/>
    </font>
    <font>
      <b/>
      <sz val="10"/>
      <color rgb="FF000066"/>
      <name val="Tahoma"/>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FF00"/>
        <bgColor indexed="64"/>
      </patternFill>
    </fill>
    <fill>
      <patternFill patternType="solid">
        <fgColor indexed="65"/>
        <bgColor indexed="64"/>
      </patternFill>
    </fill>
    <fill>
      <patternFill patternType="solid">
        <fgColor indexed="9"/>
        <bgColor indexed="64"/>
      </patternFill>
    </fill>
    <fill>
      <patternFill patternType="solid">
        <fgColor indexed="22"/>
        <bgColor indexed="64"/>
      </patternFill>
    </fill>
    <fill>
      <patternFill patternType="solid">
        <fgColor indexed="18"/>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thin"/>
      <right style="thin"/>
      <top>
        <color indexed="63"/>
      </top>
      <bottom style="medium"/>
    </border>
    <border>
      <left>
        <color indexed="63"/>
      </left>
      <right>
        <color indexed="63"/>
      </right>
      <top>
        <color indexed="63"/>
      </top>
      <bottom style="medium"/>
    </border>
    <border>
      <left style="thin"/>
      <right style="medium"/>
      <top>
        <color indexed="63"/>
      </top>
      <bottom style="medium"/>
    </border>
    <border>
      <left style="medium"/>
      <right>
        <color indexed="63"/>
      </right>
      <top style="medium"/>
      <bottom style="medium"/>
    </border>
    <border>
      <left>
        <color indexed="63"/>
      </left>
      <right>
        <color indexed="63"/>
      </right>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thin"/>
      <top style="medium"/>
      <bottom style="medium"/>
    </border>
    <border>
      <left style="medium"/>
      <right style="medium"/>
      <top>
        <color indexed="63"/>
      </top>
      <bottom style="medium"/>
    </border>
    <border>
      <left>
        <color indexed="63"/>
      </left>
      <right>
        <color indexed="63"/>
      </right>
      <top>
        <color indexed="63"/>
      </top>
      <bottom style="thin">
        <color indexed="22"/>
      </bottom>
    </border>
    <border>
      <left>
        <color indexed="63"/>
      </left>
      <right style="thin">
        <color indexed="22"/>
      </right>
      <top>
        <color indexed="63"/>
      </top>
      <bottom>
        <color indexed="63"/>
      </bottom>
    </border>
    <border>
      <left style="thin">
        <color indexed="22"/>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style="thin">
        <color indexed="22"/>
      </top>
      <bottom>
        <color indexed="63"/>
      </bottom>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color indexed="63"/>
      </bottom>
    </border>
    <border>
      <left style="thin">
        <color indexed="22"/>
      </left>
      <right style="thin">
        <color indexed="22"/>
      </right>
      <top style="thin">
        <color indexed="22"/>
      </top>
      <bottom>
        <color indexed="63"/>
      </bottom>
    </border>
    <border>
      <left>
        <color indexed="63"/>
      </left>
      <right style="thin">
        <color indexed="22"/>
      </right>
      <top style="thin">
        <color indexed="22"/>
      </top>
      <bottom>
        <color indexed="63"/>
      </bottom>
    </border>
    <border>
      <left style="thin">
        <color indexed="22"/>
      </left>
      <right style="thin">
        <color indexed="22"/>
      </right>
      <top>
        <color indexed="63"/>
      </top>
      <bottom style="thin">
        <color indexed="22"/>
      </bottom>
    </border>
    <border>
      <left>
        <color indexed="63"/>
      </left>
      <right style="thin">
        <color indexed="22"/>
      </right>
      <top>
        <color indexed="63"/>
      </top>
      <bottom style="thin">
        <color indexed="22"/>
      </bottom>
    </border>
    <border>
      <left style="thin">
        <color indexed="22"/>
      </left>
      <right>
        <color indexed="63"/>
      </right>
      <top>
        <color indexed="63"/>
      </top>
      <bottom>
        <color indexed="63"/>
      </bottom>
    </border>
    <border>
      <left style="thin">
        <color indexed="22"/>
      </left>
      <right>
        <color indexed="63"/>
      </right>
      <top style="thin">
        <color indexed="22"/>
      </top>
      <bottom>
        <color indexed="63"/>
      </bottom>
    </border>
    <border>
      <left>
        <color indexed="63"/>
      </left>
      <right style="medium"/>
      <top style="medium"/>
      <bottom style="mediu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3"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7"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194" fontId="0" fillId="0" borderId="0" applyFont="0" applyFill="0" applyBorder="0" applyAlignment="0" applyProtection="0"/>
    <xf numFmtId="194" fontId="0" fillId="0" borderId="0" applyFont="0" applyFill="0" applyBorder="0" applyAlignment="0" applyProtection="0"/>
    <xf numFmtId="194" fontId="0" fillId="0" borderId="0" applyFont="0" applyFill="0" applyBorder="0" applyAlignment="0" applyProtection="0"/>
    <xf numFmtId="0" fontId="44" fillId="31" borderId="0" applyNumberFormat="0" applyBorder="0" applyAlignment="0" applyProtection="0"/>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cellStyleXfs>
  <cellXfs count="214">
    <xf numFmtId="0" fontId="0" fillId="0" borderId="0" xfId="0" applyAlignment="1">
      <alignment/>
    </xf>
    <xf numFmtId="0" fontId="0" fillId="0" borderId="0" xfId="0" applyFont="1" applyFill="1" applyBorder="1" applyAlignment="1" applyProtection="1">
      <alignment/>
      <protection hidden="1"/>
    </xf>
    <xf numFmtId="0" fontId="0" fillId="0" borderId="10" xfId="0" applyFont="1" applyFill="1" applyBorder="1" applyAlignment="1" applyProtection="1">
      <alignment horizontal="center"/>
      <protection hidden="1"/>
    </xf>
    <xf numFmtId="14" fontId="0" fillId="0" borderId="0" xfId="0" applyNumberFormat="1" applyFont="1" applyFill="1" applyBorder="1" applyAlignment="1" applyProtection="1">
      <alignment horizontal="center"/>
      <protection hidden="1"/>
    </xf>
    <xf numFmtId="14" fontId="0" fillId="0" borderId="11" xfId="0" applyNumberFormat="1" applyFont="1" applyFill="1" applyBorder="1" applyAlignment="1" applyProtection="1">
      <alignment horizontal="center"/>
      <protection hidden="1"/>
    </xf>
    <xf numFmtId="10" fontId="0" fillId="0" borderId="11" xfId="0" applyNumberFormat="1" applyFont="1" applyFill="1" applyBorder="1" applyAlignment="1" applyProtection="1">
      <alignment horizontal="center"/>
      <protection hidden="1"/>
    </xf>
    <xf numFmtId="0" fontId="0" fillId="0" borderId="12" xfId="0" applyFont="1" applyFill="1" applyBorder="1" applyAlignment="1" applyProtection="1">
      <alignment horizontal="center"/>
      <protection hidden="1"/>
    </xf>
    <xf numFmtId="0" fontId="0" fillId="0" borderId="0" xfId="0" applyFont="1" applyFill="1" applyBorder="1" applyAlignment="1" applyProtection="1">
      <alignment horizontal="center"/>
      <protection hidden="1"/>
    </xf>
    <xf numFmtId="0" fontId="0" fillId="0" borderId="13" xfId="0" applyFont="1" applyFill="1" applyBorder="1" applyAlignment="1" applyProtection="1">
      <alignment/>
      <protection hidden="1"/>
    </xf>
    <xf numFmtId="14" fontId="0" fillId="0" borderId="11" xfId="0" applyNumberFormat="1" applyFont="1" applyFill="1" applyBorder="1" applyAlignment="1" applyProtection="1">
      <alignment/>
      <protection hidden="1"/>
    </xf>
    <xf numFmtId="190" fontId="0" fillId="0" borderId="11" xfId="49" applyNumberFormat="1" applyFont="1" applyFill="1" applyBorder="1" applyAlignment="1" applyProtection="1">
      <alignment horizontal="right"/>
      <protection hidden="1"/>
    </xf>
    <xf numFmtId="180" fontId="0" fillId="0" borderId="11" xfId="49" applyNumberFormat="1" applyFont="1" applyFill="1" applyBorder="1" applyAlignment="1" applyProtection="1">
      <alignment horizontal="right"/>
      <protection hidden="1"/>
    </xf>
    <xf numFmtId="188" fontId="0" fillId="0" borderId="11" xfId="49" applyNumberFormat="1" applyFont="1" applyFill="1" applyBorder="1" applyAlignment="1" applyProtection="1">
      <alignment horizontal="right"/>
      <protection hidden="1"/>
    </xf>
    <xf numFmtId="187" fontId="0" fillId="0" borderId="11" xfId="49" applyNumberFormat="1" applyFont="1" applyFill="1" applyBorder="1" applyAlignment="1" applyProtection="1">
      <alignment horizontal="right"/>
      <protection hidden="1"/>
    </xf>
    <xf numFmtId="173" fontId="0" fillId="0" borderId="11" xfId="49" applyNumberFormat="1" applyFont="1" applyFill="1" applyBorder="1" applyAlignment="1" applyProtection="1">
      <alignment horizontal="right"/>
      <protection hidden="1"/>
    </xf>
    <xf numFmtId="180" fontId="0" fillId="0" borderId="0" xfId="0" applyNumberFormat="1" applyFont="1" applyFill="1" applyBorder="1" applyAlignment="1" applyProtection="1">
      <alignment horizontal="center"/>
      <protection hidden="1"/>
    </xf>
    <xf numFmtId="189" fontId="0" fillId="0" borderId="11" xfId="49" applyNumberFormat="1" applyFont="1" applyFill="1" applyBorder="1" applyAlignment="1" applyProtection="1">
      <alignment horizontal="right"/>
      <protection hidden="1"/>
    </xf>
    <xf numFmtId="187" fontId="0" fillId="0" borderId="0" xfId="0" applyNumberFormat="1" applyFont="1" applyFill="1" applyBorder="1" applyAlignment="1" applyProtection="1">
      <alignment horizontal="center"/>
      <protection hidden="1"/>
    </xf>
    <xf numFmtId="0" fontId="0" fillId="0" borderId="14" xfId="0" applyFont="1" applyFill="1" applyBorder="1" applyAlignment="1" applyProtection="1">
      <alignment/>
      <protection hidden="1"/>
    </xf>
    <xf numFmtId="179" fontId="0" fillId="0" borderId="12" xfId="64" applyNumberFormat="1" applyFont="1" applyFill="1" applyBorder="1" applyAlignment="1" applyProtection="1">
      <alignment horizontal="right"/>
      <protection hidden="1"/>
    </xf>
    <xf numFmtId="179" fontId="0" fillId="0" borderId="11" xfId="64" applyNumberFormat="1" applyFont="1" applyFill="1" applyBorder="1" applyAlignment="1" applyProtection="1">
      <alignment horizontal="right"/>
      <protection hidden="1"/>
    </xf>
    <xf numFmtId="185" fontId="0" fillId="0" borderId="0" xfId="49" applyNumberFormat="1" applyFont="1" applyFill="1" applyBorder="1" applyAlignment="1" applyProtection="1">
      <alignment/>
      <protection hidden="1"/>
    </xf>
    <xf numFmtId="173" fontId="0" fillId="0" borderId="0" xfId="0" applyNumberFormat="1" applyFont="1" applyFill="1" applyBorder="1" applyAlignment="1" applyProtection="1">
      <alignment/>
      <protection hidden="1"/>
    </xf>
    <xf numFmtId="190" fontId="0" fillId="0" borderId="0" xfId="0" applyNumberFormat="1" applyFont="1" applyFill="1" applyBorder="1" applyAlignment="1" applyProtection="1">
      <alignment horizontal="center"/>
      <protection hidden="1"/>
    </xf>
    <xf numFmtId="187" fontId="0" fillId="0" borderId="12" xfId="0" applyNumberFormat="1" applyFont="1" applyFill="1" applyBorder="1" applyAlignment="1" applyProtection="1">
      <alignment horizontal="center"/>
      <protection hidden="1"/>
    </xf>
    <xf numFmtId="188" fontId="0" fillId="0" borderId="0" xfId="0" applyNumberFormat="1" applyFont="1" applyFill="1" applyBorder="1" applyAlignment="1" applyProtection="1">
      <alignment horizontal="center"/>
      <protection hidden="1"/>
    </xf>
    <xf numFmtId="192" fontId="0" fillId="0" borderId="0" xfId="0" applyNumberFormat="1" applyFont="1" applyFill="1" applyBorder="1" applyAlignment="1" applyProtection="1">
      <alignment horizontal="center"/>
      <protection hidden="1"/>
    </xf>
    <xf numFmtId="0" fontId="0" fillId="0" borderId="15" xfId="0" applyFont="1" applyFill="1" applyBorder="1" applyAlignment="1" applyProtection="1">
      <alignment/>
      <protection hidden="1"/>
    </xf>
    <xf numFmtId="0" fontId="0" fillId="0" borderId="0" xfId="0" applyFont="1" applyFill="1" applyAlignment="1" applyProtection="1">
      <alignment/>
      <protection hidden="1"/>
    </xf>
    <xf numFmtId="178" fontId="0" fillId="0" borderId="16" xfId="64" applyNumberFormat="1" applyFont="1" applyFill="1" applyBorder="1" applyAlignment="1" applyProtection="1">
      <alignment horizontal="center"/>
      <protection hidden="1"/>
    </xf>
    <xf numFmtId="14" fontId="0" fillId="0" borderId="15" xfId="64" applyNumberFormat="1" applyFont="1" applyFill="1" applyBorder="1" applyAlignment="1" applyProtection="1">
      <alignment horizontal="center"/>
      <protection hidden="1"/>
    </xf>
    <xf numFmtId="182" fontId="0" fillId="0" borderId="17" xfId="64" applyNumberFormat="1" applyFont="1" applyFill="1" applyBorder="1" applyAlignment="1" applyProtection="1">
      <alignment horizontal="center"/>
      <protection hidden="1"/>
    </xf>
    <xf numFmtId="14" fontId="0" fillId="0" borderId="13" xfId="64" applyNumberFormat="1" applyFont="1" applyFill="1" applyBorder="1" applyAlignment="1" applyProtection="1">
      <alignment horizontal="center"/>
      <protection hidden="1"/>
    </xf>
    <xf numFmtId="182" fontId="0" fillId="0" borderId="18" xfId="64" applyNumberFormat="1" applyFont="1" applyFill="1" applyBorder="1" applyAlignment="1" applyProtection="1">
      <alignment horizontal="center"/>
      <protection hidden="1"/>
    </xf>
    <xf numFmtId="14" fontId="0" fillId="0" borderId="14" xfId="64" applyNumberFormat="1" applyFont="1" applyFill="1" applyBorder="1" applyAlignment="1" applyProtection="1">
      <alignment horizontal="center"/>
      <protection hidden="1"/>
    </xf>
    <xf numFmtId="0" fontId="0" fillId="0" borderId="16" xfId="0" applyFont="1" applyFill="1" applyBorder="1" applyAlignment="1" applyProtection="1">
      <alignment horizontal="center"/>
      <protection hidden="1"/>
    </xf>
    <xf numFmtId="0" fontId="0" fillId="0" borderId="0" xfId="0" applyFill="1" applyAlignment="1" applyProtection="1">
      <alignment/>
      <protection hidden="1"/>
    </xf>
    <xf numFmtId="0" fontId="1" fillId="0" borderId="0" xfId="46" applyFill="1" applyAlignment="1" applyProtection="1">
      <alignment horizontal="center" vertical="center"/>
      <protection hidden="1"/>
    </xf>
    <xf numFmtId="10" fontId="0" fillId="0" borderId="0" xfId="0" applyNumberFormat="1" applyFont="1" applyFill="1" applyBorder="1" applyAlignment="1" applyProtection="1">
      <alignment horizontal="center"/>
      <protection hidden="1"/>
    </xf>
    <xf numFmtId="14" fontId="0" fillId="33" borderId="19" xfId="0" applyNumberFormat="1" applyFont="1" applyFill="1" applyBorder="1" applyAlignment="1" applyProtection="1">
      <alignment horizontal="center"/>
      <protection hidden="1"/>
    </xf>
    <xf numFmtId="172" fontId="0" fillId="33" borderId="20" xfId="49" applyNumberFormat="1" applyFont="1" applyFill="1" applyBorder="1" applyAlignment="1" applyProtection="1">
      <alignment horizontal="center"/>
      <protection hidden="1"/>
    </xf>
    <xf numFmtId="186" fontId="0" fillId="33" borderId="20" xfId="64" applyNumberFormat="1" applyFont="1" applyFill="1" applyBorder="1" applyAlignment="1" applyProtection="1">
      <alignment/>
      <protection hidden="1"/>
    </xf>
    <xf numFmtId="190" fontId="0" fillId="33" borderId="20" xfId="49" applyNumberFormat="1" applyFont="1" applyFill="1" applyBorder="1" applyAlignment="1" applyProtection="1">
      <alignment/>
      <protection hidden="1"/>
    </xf>
    <xf numFmtId="190" fontId="0" fillId="33" borderId="20" xfId="49" applyNumberFormat="1" applyFont="1" applyFill="1" applyBorder="1" applyAlignment="1" applyProtection="1">
      <alignment horizontal="right"/>
      <protection hidden="1"/>
    </xf>
    <xf numFmtId="190" fontId="0" fillId="33" borderId="21" xfId="49" applyNumberFormat="1" applyFont="1" applyFill="1" applyBorder="1" applyAlignment="1" applyProtection="1">
      <alignment horizontal="right"/>
      <protection hidden="1"/>
    </xf>
    <xf numFmtId="14" fontId="0" fillId="33" borderId="20" xfId="0" applyNumberFormat="1" applyFont="1" applyFill="1" applyBorder="1" applyAlignment="1" applyProtection="1">
      <alignment horizontal="center"/>
      <protection hidden="1"/>
    </xf>
    <xf numFmtId="0" fontId="0" fillId="33" borderId="0" xfId="0" applyFont="1" applyFill="1" applyBorder="1" applyAlignment="1" applyProtection="1">
      <alignment horizontal="center"/>
      <protection hidden="1"/>
    </xf>
    <xf numFmtId="0" fontId="0" fillId="33" borderId="22" xfId="0" applyFont="1" applyFill="1" applyBorder="1" applyAlignment="1" applyProtection="1">
      <alignment horizontal="center"/>
      <protection hidden="1"/>
    </xf>
    <xf numFmtId="173" fontId="0" fillId="33" borderId="19" xfId="0" applyNumberFormat="1" applyFont="1" applyFill="1" applyBorder="1" applyAlignment="1" applyProtection="1">
      <alignment/>
      <protection hidden="1"/>
    </xf>
    <xf numFmtId="173" fontId="0" fillId="33" borderId="20" xfId="0" applyNumberFormat="1" applyFont="1" applyFill="1" applyBorder="1" applyAlignment="1" applyProtection="1">
      <alignment/>
      <protection hidden="1"/>
    </xf>
    <xf numFmtId="173" fontId="0" fillId="33" borderId="22" xfId="0" applyNumberFormat="1" applyFont="1" applyFill="1" applyBorder="1" applyAlignment="1" applyProtection="1">
      <alignment/>
      <protection hidden="1"/>
    </xf>
    <xf numFmtId="0" fontId="0" fillId="33" borderId="0" xfId="0" applyFont="1" applyFill="1" applyAlignment="1" applyProtection="1">
      <alignment/>
      <protection hidden="1"/>
    </xf>
    <xf numFmtId="172" fontId="0" fillId="34" borderId="20" xfId="49" applyNumberFormat="1" applyFont="1" applyFill="1" applyBorder="1" applyAlignment="1" applyProtection="1">
      <alignment horizontal="center"/>
      <protection hidden="1"/>
    </xf>
    <xf numFmtId="186" fontId="0" fillId="34" borderId="20" xfId="64" applyNumberFormat="1" applyFont="1" applyFill="1" applyBorder="1" applyAlignment="1" applyProtection="1">
      <alignment/>
      <protection hidden="1"/>
    </xf>
    <xf numFmtId="190" fontId="0" fillId="34" borderId="20" xfId="49" applyNumberFormat="1" applyFont="1" applyFill="1" applyBorder="1" applyAlignment="1" applyProtection="1">
      <alignment/>
      <protection hidden="1"/>
    </xf>
    <xf numFmtId="190" fontId="0" fillId="34" borderId="20" xfId="49" applyNumberFormat="1" applyFont="1" applyFill="1" applyBorder="1" applyAlignment="1" applyProtection="1">
      <alignment horizontal="right"/>
      <protection hidden="1"/>
    </xf>
    <xf numFmtId="190" fontId="0" fillId="34" borderId="21" xfId="49" applyNumberFormat="1" applyFont="1" applyFill="1" applyBorder="1" applyAlignment="1" applyProtection="1">
      <alignment horizontal="right"/>
      <protection hidden="1"/>
    </xf>
    <xf numFmtId="14" fontId="0" fillId="34" borderId="20" xfId="0" applyNumberFormat="1" applyFont="1" applyFill="1" applyBorder="1" applyAlignment="1" applyProtection="1">
      <alignment horizontal="center"/>
      <protection hidden="1"/>
    </xf>
    <xf numFmtId="0" fontId="0" fillId="34" borderId="0" xfId="0" applyFont="1" applyFill="1" applyBorder="1" applyAlignment="1" applyProtection="1">
      <alignment horizontal="center"/>
      <protection hidden="1"/>
    </xf>
    <xf numFmtId="0" fontId="0" fillId="34" borderId="22" xfId="0" applyFont="1" applyFill="1" applyBorder="1" applyAlignment="1" applyProtection="1">
      <alignment horizontal="center"/>
      <protection hidden="1"/>
    </xf>
    <xf numFmtId="173" fontId="0" fillId="34" borderId="19" xfId="0" applyNumberFormat="1" applyFont="1" applyFill="1" applyBorder="1" applyAlignment="1" applyProtection="1">
      <alignment/>
      <protection hidden="1"/>
    </xf>
    <xf numFmtId="173" fontId="0" fillId="34" borderId="20" xfId="0" applyNumberFormat="1" applyFont="1" applyFill="1" applyBorder="1" applyAlignment="1" applyProtection="1">
      <alignment/>
      <protection hidden="1"/>
    </xf>
    <xf numFmtId="173" fontId="0" fillId="34" borderId="22" xfId="0" applyNumberFormat="1" applyFont="1" applyFill="1" applyBorder="1" applyAlignment="1" applyProtection="1">
      <alignment/>
      <protection hidden="1"/>
    </xf>
    <xf numFmtId="14" fontId="0" fillId="33" borderId="18" xfId="64" applyNumberFormat="1" applyFont="1" applyFill="1" applyBorder="1" applyAlignment="1" applyProtection="1">
      <alignment horizontal="center"/>
      <protection hidden="1"/>
    </xf>
    <xf numFmtId="181" fontId="0" fillId="33" borderId="18" xfId="64" applyNumberFormat="1" applyFont="1" applyFill="1" applyBorder="1" applyAlignment="1" applyProtection="1">
      <alignment horizontal="center"/>
      <protection hidden="1"/>
    </xf>
    <xf numFmtId="0" fontId="0" fillId="33" borderId="0" xfId="0" applyFont="1" applyFill="1" applyBorder="1" applyAlignment="1" applyProtection="1">
      <alignment/>
      <protection hidden="1"/>
    </xf>
    <xf numFmtId="0" fontId="0" fillId="35" borderId="0" xfId="0" applyFont="1" applyFill="1" applyAlignment="1" applyProtection="1">
      <alignment/>
      <protection hidden="1"/>
    </xf>
    <xf numFmtId="172" fontId="0" fillId="35" borderId="20" xfId="49" applyNumberFormat="1" applyFont="1" applyFill="1" applyBorder="1" applyAlignment="1" applyProtection="1">
      <alignment horizontal="center"/>
      <protection hidden="1"/>
    </xf>
    <xf numFmtId="190" fontId="0" fillId="35" borderId="20" xfId="49" applyNumberFormat="1" applyFont="1" applyFill="1" applyBorder="1" applyAlignment="1" applyProtection="1">
      <alignment/>
      <protection hidden="1"/>
    </xf>
    <xf numFmtId="190" fontId="0" fillId="35" borderId="20" xfId="49" applyNumberFormat="1" applyFont="1" applyFill="1" applyBorder="1" applyAlignment="1" applyProtection="1">
      <alignment horizontal="right"/>
      <protection hidden="1"/>
    </xf>
    <xf numFmtId="190" fontId="0" fillId="35" borderId="21" xfId="49" applyNumberFormat="1" applyFont="1" applyFill="1" applyBorder="1" applyAlignment="1" applyProtection="1">
      <alignment horizontal="right"/>
      <protection hidden="1"/>
    </xf>
    <xf numFmtId="14" fontId="0" fillId="35" borderId="20" xfId="0" applyNumberFormat="1" applyFont="1" applyFill="1" applyBorder="1" applyAlignment="1" applyProtection="1">
      <alignment horizontal="center"/>
      <protection hidden="1"/>
    </xf>
    <xf numFmtId="0" fontId="0" fillId="35" borderId="0" xfId="0" applyFont="1" applyFill="1" applyBorder="1" applyAlignment="1" applyProtection="1">
      <alignment horizontal="center"/>
      <protection hidden="1"/>
    </xf>
    <xf numFmtId="0" fontId="0" fillId="35" borderId="22" xfId="0" applyFont="1" applyFill="1" applyBorder="1" applyAlignment="1" applyProtection="1">
      <alignment horizontal="center"/>
      <protection hidden="1"/>
    </xf>
    <xf numFmtId="173" fontId="0" fillId="35" borderId="20" xfId="0" applyNumberFormat="1" applyFont="1" applyFill="1" applyBorder="1" applyAlignment="1" applyProtection="1">
      <alignment/>
      <protection hidden="1"/>
    </xf>
    <xf numFmtId="173" fontId="0" fillId="35" borderId="22" xfId="0" applyNumberFormat="1" applyFont="1" applyFill="1" applyBorder="1" applyAlignment="1" applyProtection="1">
      <alignment/>
      <protection hidden="1"/>
    </xf>
    <xf numFmtId="14" fontId="0" fillId="35" borderId="23" xfId="0" applyNumberFormat="1" applyFont="1" applyFill="1" applyBorder="1" applyAlignment="1" applyProtection="1">
      <alignment horizontal="center"/>
      <protection hidden="1"/>
    </xf>
    <xf numFmtId="0" fontId="0" fillId="35" borderId="24" xfId="0" applyFont="1" applyFill="1" applyBorder="1" applyAlignment="1" applyProtection="1">
      <alignment horizontal="center"/>
      <protection hidden="1"/>
    </xf>
    <xf numFmtId="0" fontId="0" fillId="35" borderId="25" xfId="0" applyFont="1" applyFill="1" applyBorder="1" applyAlignment="1" applyProtection="1">
      <alignment horizontal="center"/>
      <protection hidden="1"/>
    </xf>
    <xf numFmtId="173" fontId="0" fillId="35" borderId="23" xfId="0" applyNumberFormat="1" applyFont="1" applyFill="1" applyBorder="1" applyAlignment="1" applyProtection="1">
      <alignment/>
      <protection hidden="1"/>
    </xf>
    <xf numFmtId="173" fontId="0" fillId="35" borderId="25" xfId="0" applyNumberFormat="1" applyFont="1" applyFill="1" applyBorder="1" applyAlignment="1" applyProtection="1">
      <alignment/>
      <protection hidden="1"/>
    </xf>
    <xf numFmtId="0" fontId="4" fillId="35" borderId="26" xfId="0" applyFont="1" applyFill="1" applyBorder="1" applyAlignment="1" applyProtection="1">
      <alignment horizontal="center"/>
      <protection hidden="1"/>
    </xf>
    <xf numFmtId="0" fontId="4" fillId="35" borderId="27" xfId="0" applyFont="1" applyFill="1" applyBorder="1" applyAlignment="1" applyProtection="1">
      <alignment/>
      <protection hidden="1"/>
    </xf>
    <xf numFmtId="186" fontId="4" fillId="35" borderId="28" xfId="64" applyNumberFormat="1" applyFont="1" applyFill="1" applyBorder="1" applyAlignment="1" applyProtection="1">
      <alignment/>
      <protection hidden="1"/>
    </xf>
    <xf numFmtId="190" fontId="4" fillId="35" borderId="27" xfId="0" applyNumberFormat="1" applyFont="1" applyFill="1" applyBorder="1" applyAlignment="1" applyProtection="1">
      <alignment/>
      <protection hidden="1"/>
    </xf>
    <xf numFmtId="190" fontId="4" fillId="35" borderId="29" xfId="49" applyNumberFormat="1" applyFont="1" applyFill="1" applyBorder="1" applyAlignment="1" applyProtection="1">
      <alignment/>
      <protection hidden="1"/>
    </xf>
    <xf numFmtId="190" fontId="4" fillId="35" borderId="30" xfId="49" applyNumberFormat="1" applyFont="1" applyFill="1" applyBorder="1" applyAlignment="1" applyProtection="1">
      <alignment/>
      <protection hidden="1"/>
    </xf>
    <xf numFmtId="14" fontId="0" fillId="35" borderId="0" xfId="0" applyNumberFormat="1" applyFont="1" applyFill="1" applyBorder="1" applyAlignment="1" applyProtection="1">
      <alignment horizontal="center"/>
      <protection hidden="1"/>
    </xf>
    <xf numFmtId="0" fontId="0" fillId="35" borderId="0" xfId="0" applyFont="1" applyFill="1" applyAlignment="1" applyProtection="1">
      <alignment horizontal="center"/>
      <protection hidden="1"/>
    </xf>
    <xf numFmtId="173" fontId="4" fillId="35" borderId="31" xfId="0" applyNumberFormat="1" applyFont="1" applyFill="1" applyBorder="1" applyAlignment="1" applyProtection="1">
      <alignment/>
      <protection hidden="1"/>
    </xf>
    <xf numFmtId="173" fontId="4" fillId="35" borderId="29" xfId="49" applyNumberFormat="1" applyFont="1" applyFill="1" applyBorder="1" applyAlignment="1" applyProtection="1">
      <alignment/>
      <protection hidden="1"/>
    </xf>
    <xf numFmtId="173" fontId="4" fillId="35" borderId="30" xfId="49" applyNumberFormat="1" applyFont="1" applyFill="1" applyBorder="1" applyAlignment="1" applyProtection="1">
      <alignment/>
      <protection hidden="1"/>
    </xf>
    <xf numFmtId="2" fontId="0" fillId="35" borderId="0" xfId="0" applyNumberFormat="1" applyFont="1" applyFill="1" applyAlignment="1" applyProtection="1">
      <alignment/>
      <protection hidden="1"/>
    </xf>
    <xf numFmtId="0" fontId="0" fillId="35" borderId="26" xfId="0" applyFont="1" applyFill="1" applyBorder="1" applyAlignment="1" applyProtection="1">
      <alignment horizontal="center"/>
      <protection hidden="1"/>
    </xf>
    <xf numFmtId="0" fontId="0" fillId="35" borderId="0" xfId="0" applyFont="1" applyFill="1" applyBorder="1" applyAlignment="1" applyProtection="1">
      <alignment horizontal="left"/>
      <protection hidden="1"/>
    </xf>
    <xf numFmtId="178" fontId="0" fillId="35" borderId="16" xfId="64" applyNumberFormat="1" applyFont="1" applyFill="1" applyBorder="1" applyAlignment="1" applyProtection="1">
      <alignment horizontal="center"/>
      <protection hidden="1"/>
    </xf>
    <xf numFmtId="0" fontId="0" fillId="35" borderId="0" xfId="0" applyFont="1" applyFill="1" applyBorder="1" applyAlignment="1" applyProtection="1">
      <alignment/>
      <protection hidden="1"/>
    </xf>
    <xf numFmtId="181" fontId="0" fillId="35" borderId="18" xfId="64" applyNumberFormat="1" applyFont="1" applyFill="1" applyBorder="1" applyAlignment="1" applyProtection="1">
      <alignment horizontal="center"/>
      <protection hidden="1"/>
    </xf>
    <xf numFmtId="181" fontId="0" fillId="35" borderId="32" xfId="64" applyNumberFormat="1" applyFont="1" applyFill="1" applyBorder="1" applyAlignment="1" applyProtection="1">
      <alignment horizontal="center"/>
      <protection hidden="1"/>
    </xf>
    <xf numFmtId="186" fontId="0" fillId="35" borderId="0" xfId="0" applyNumberFormat="1" applyFont="1" applyFill="1" applyBorder="1" applyAlignment="1" applyProtection="1">
      <alignment horizontal="center"/>
      <protection hidden="1"/>
    </xf>
    <xf numFmtId="186" fontId="0" fillId="35" borderId="0" xfId="0" applyNumberFormat="1" applyFont="1" applyFill="1" applyBorder="1" applyAlignment="1" applyProtection="1">
      <alignment/>
      <protection hidden="1"/>
    </xf>
    <xf numFmtId="181" fontId="0" fillId="33" borderId="0" xfId="0" applyNumberFormat="1" applyFont="1" applyFill="1" applyBorder="1" applyAlignment="1" applyProtection="1">
      <alignment/>
      <protection hidden="1"/>
    </xf>
    <xf numFmtId="0" fontId="0" fillId="34" borderId="0" xfId="0" applyFont="1" applyFill="1" applyBorder="1" applyAlignment="1" applyProtection="1">
      <alignment/>
      <protection hidden="1"/>
    </xf>
    <xf numFmtId="0" fontId="0" fillId="33" borderId="0" xfId="0" applyFont="1" applyFill="1" applyAlignment="1" applyProtection="1">
      <alignment horizontal="center" vertical="center"/>
      <protection hidden="1"/>
    </xf>
    <xf numFmtId="0" fontId="0" fillId="34" borderId="0" xfId="0" applyFont="1" applyFill="1" applyAlignment="1" applyProtection="1">
      <alignment/>
      <protection hidden="1"/>
    </xf>
    <xf numFmtId="14" fontId="0" fillId="0" borderId="18" xfId="64" applyNumberFormat="1" applyFont="1" applyFill="1" applyBorder="1" applyAlignment="1" applyProtection="1">
      <alignment horizontal="center"/>
      <protection hidden="1"/>
    </xf>
    <xf numFmtId="181" fontId="0" fillId="0" borderId="18" xfId="64" applyNumberFormat="1" applyFont="1" applyFill="1" applyBorder="1" applyAlignment="1" applyProtection="1">
      <alignment horizontal="center"/>
      <protection hidden="1"/>
    </xf>
    <xf numFmtId="14" fontId="0" fillId="0" borderId="19" xfId="0" applyNumberFormat="1" applyFont="1" applyFill="1" applyBorder="1" applyAlignment="1" applyProtection="1">
      <alignment horizontal="center"/>
      <protection hidden="1"/>
    </xf>
    <xf numFmtId="172" fontId="0" fillId="0" borderId="20" xfId="49" applyNumberFormat="1" applyFont="1" applyFill="1" applyBorder="1" applyAlignment="1" applyProtection="1">
      <alignment horizontal="center"/>
      <protection hidden="1"/>
    </xf>
    <xf numFmtId="190" fontId="0" fillId="0" borderId="20" xfId="49" applyNumberFormat="1" applyFont="1" applyFill="1" applyBorder="1" applyAlignment="1" applyProtection="1">
      <alignment/>
      <protection hidden="1"/>
    </xf>
    <xf numFmtId="190" fontId="0" fillId="0" borderId="20" xfId="49" applyNumberFormat="1" applyFont="1" applyFill="1" applyBorder="1" applyAlignment="1" applyProtection="1">
      <alignment horizontal="right"/>
      <protection hidden="1"/>
    </xf>
    <xf numFmtId="190" fontId="0" fillId="0" borderId="21" xfId="49" applyNumberFormat="1" applyFont="1" applyFill="1" applyBorder="1" applyAlignment="1" applyProtection="1">
      <alignment horizontal="right"/>
      <protection hidden="1"/>
    </xf>
    <xf numFmtId="14" fontId="0" fillId="0" borderId="20" xfId="0" applyNumberFormat="1" applyFont="1" applyFill="1" applyBorder="1" applyAlignment="1" applyProtection="1">
      <alignment horizontal="center"/>
      <protection hidden="1"/>
    </xf>
    <xf numFmtId="0" fontId="0" fillId="0" borderId="22" xfId="0" applyFont="1" applyFill="1" applyBorder="1" applyAlignment="1" applyProtection="1">
      <alignment horizontal="center"/>
      <protection hidden="1"/>
    </xf>
    <xf numFmtId="173" fontId="0" fillId="0" borderId="20" xfId="0" applyNumberFormat="1" applyFont="1" applyFill="1" applyBorder="1" applyAlignment="1" applyProtection="1">
      <alignment/>
      <protection hidden="1"/>
    </xf>
    <xf numFmtId="173" fontId="0" fillId="0" borderId="22" xfId="0" applyNumberFormat="1" applyFont="1" applyFill="1" applyBorder="1" applyAlignment="1" applyProtection="1">
      <alignment/>
      <protection hidden="1"/>
    </xf>
    <xf numFmtId="14" fontId="0" fillId="34" borderId="19" xfId="0" applyNumberFormat="1" applyFont="1" applyFill="1" applyBorder="1" applyAlignment="1" applyProtection="1">
      <alignment horizontal="center"/>
      <protection hidden="1"/>
    </xf>
    <xf numFmtId="0" fontId="0" fillId="33" borderId="0" xfId="0" applyFill="1" applyAlignment="1" applyProtection="1">
      <alignment/>
      <protection hidden="1"/>
    </xf>
    <xf numFmtId="0" fontId="0" fillId="0" borderId="11" xfId="0" applyFont="1" applyFill="1" applyBorder="1" applyAlignment="1" applyProtection="1">
      <alignment horizontal="center"/>
      <protection hidden="1"/>
    </xf>
    <xf numFmtId="186" fontId="0" fillId="0" borderId="18" xfId="64" applyNumberFormat="1" applyFont="1" applyFill="1" applyBorder="1" applyAlignment="1" applyProtection="1">
      <alignment horizontal="center"/>
      <protection hidden="1"/>
    </xf>
    <xf numFmtId="186" fontId="0" fillId="33" borderId="18" xfId="64" applyNumberFormat="1" applyFont="1" applyFill="1" applyBorder="1" applyAlignment="1" applyProtection="1">
      <alignment horizontal="center"/>
      <protection hidden="1"/>
    </xf>
    <xf numFmtId="186" fontId="0" fillId="35" borderId="18" xfId="64" applyNumberFormat="1" applyFont="1" applyFill="1" applyBorder="1" applyAlignment="1" applyProtection="1">
      <alignment horizontal="center"/>
      <protection hidden="1"/>
    </xf>
    <xf numFmtId="186" fontId="0" fillId="35" borderId="32" xfId="64" applyNumberFormat="1" applyFont="1" applyFill="1" applyBorder="1" applyAlignment="1" applyProtection="1">
      <alignment horizontal="center"/>
      <protection hidden="1"/>
    </xf>
    <xf numFmtId="14" fontId="0" fillId="34" borderId="18" xfId="64" applyNumberFormat="1" applyFont="1" applyFill="1" applyBorder="1" applyAlignment="1" applyProtection="1">
      <alignment horizontal="center"/>
      <protection hidden="1"/>
    </xf>
    <xf numFmtId="181" fontId="0" fillId="34" borderId="18" xfId="64" applyNumberFormat="1" applyFont="1" applyFill="1" applyBorder="1" applyAlignment="1" applyProtection="1">
      <alignment horizontal="center"/>
      <protection hidden="1"/>
    </xf>
    <xf numFmtId="186" fontId="0" fillId="34" borderId="18" xfId="64" applyNumberFormat="1" applyFont="1" applyFill="1" applyBorder="1" applyAlignment="1" applyProtection="1">
      <alignment horizontal="center"/>
      <protection hidden="1"/>
    </xf>
    <xf numFmtId="181" fontId="0" fillId="34" borderId="0" xfId="0" applyNumberFormat="1" applyFont="1" applyFill="1" applyBorder="1" applyAlignment="1" applyProtection="1">
      <alignment/>
      <protection hidden="1"/>
    </xf>
    <xf numFmtId="186" fontId="0" fillId="0" borderId="20" xfId="64" applyNumberFormat="1" applyFont="1" applyFill="1" applyBorder="1" applyAlignment="1" applyProtection="1">
      <alignment/>
      <protection hidden="1"/>
    </xf>
    <xf numFmtId="173" fontId="0" fillId="0" borderId="19" xfId="0" applyNumberFormat="1" applyFont="1" applyFill="1" applyBorder="1" applyAlignment="1" applyProtection="1">
      <alignment/>
      <protection hidden="1"/>
    </xf>
    <xf numFmtId="181" fontId="0" fillId="0" borderId="0" xfId="0" applyNumberFormat="1" applyFont="1" applyFill="1" applyBorder="1" applyAlignment="1" applyProtection="1">
      <alignment/>
      <protection hidden="1"/>
    </xf>
    <xf numFmtId="0" fontId="6" fillId="36" borderId="0" xfId="0" applyFont="1" applyFill="1" applyBorder="1" applyAlignment="1" applyProtection="1">
      <alignment/>
      <protection hidden="1"/>
    </xf>
    <xf numFmtId="0" fontId="7" fillId="36" borderId="0" xfId="0" applyFont="1" applyFill="1" applyBorder="1" applyAlignment="1" applyProtection="1">
      <alignment/>
      <protection hidden="1"/>
    </xf>
    <xf numFmtId="0" fontId="6" fillId="0" borderId="0" xfId="0" applyFont="1" applyFill="1" applyBorder="1" applyAlignment="1" applyProtection="1">
      <alignment/>
      <protection hidden="1"/>
    </xf>
    <xf numFmtId="0" fontId="6" fillId="0" borderId="0" xfId="0" applyFont="1" applyFill="1" applyBorder="1" applyAlignment="1" applyProtection="1">
      <alignment horizontal="center"/>
      <protection hidden="1"/>
    </xf>
    <xf numFmtId="14" fontId="6" fillId="0" borderId="0" xfId="0" applyNumberFormat="1" applyFont="1" applyFill="1" applyBorder="1" applyAlignment="1" applyProtection="1">
      <alignment horizontal="center"/>
      <protection hidden="1"/>
    </xf>
    <xf numFmtId="0" fontId="8" fillId="36" borderId="0" xfId="0" applyFont="1" applyFill="1" applyBorder="1" applyAlignment="1" applyProtection="1">
      <alignment horizontal="left" vertical="center" indent="14"/>
      <protection hidden="1"/>
    </xf>
    <xf numFmtId="0" fontId="10" fillId="36" borderId="0" xfId="0" applyFont="1" applyFill="1" applyBorder="1" applyAlignment="1" applyProtection="1">
      <alignment horizontal="left" vertical="center" indent="14"/>
      <protection hidden="1"/>
    </xf>
    <xf numFmtId="0" fontId="6" fillId="0" borderId="0" xfId="0" applyFont="1" applyFill="1" applyAlignment="1" applyProtection="1">
      <alignment/>
      <protection hidden="1"/>
    </xf>
    <xf numFmtId="14" fontId="6" fillId="37" borderId="0" xfId="0" applyNumberFormat="1" applyFont="1" applyFill="1" applyAlignment="1" applyProtection="1">
      <alignment/>
      <protection hidden="1"/>
    </xf>
    <xf numFmtId="14" fontId="6" fillId="0" borderId="0" xfId="0" applyNumberFormat="1" applyFont="1" applyFill="1" applyBorder="1" applyAlignment="1" applyProtection="1">
      <alignment/>
      <protection hidden="1"/>
    </xf>
    <xf numFmtId="0" fontId="10" fillId="36" borderId="0" xfId="0" applyFont="1" applyFill="1" applyBorder="1" applyAlignment="1" applyProtection="1">
      <alignment vertical="center"/>
      <protection hidden="1"/>
    </xf>
    <xf numFmtId="0" fontId="5" fillId="36" borderId="33" xfId="0" applyFont="1" applyFill="1" applyBorder="1" applyAlignment="1" applyProtection="1">
      <alignment/>
      <protection hidden="1"/>
    </xf>
    <xf numFmtId="14" fontId="6" fillId="0" borderId="0" xfId="0" applyNumberFormat="1" applyFont="1" applyFill="1" applyAlignment="1" applyProtection="1">
      <alignment/>
      <protection hidden="1"/>
    </xf>
    <xf numFmtId="0" fontId="6" fillId="36" borderId="34" xfId="0" applyFont="1" applyFill="1" applyBorder="1" applyAlignment="1" applyProtection="1">
      <alignment/>
      <protection hidden="1"/>
    </xf>
    <xf numFmtId="0" fontId="51" fillId="38" borderId="35" xfId="0" applyFont="1" applyFill="1" applyBorder="1" applyAlignment="1" applyProtection="1">
      <alignment horizontal="left"/>
      <protection hidden="1"/>
    </xf>
    <xf numFmtId="0" fontId="9" fillId="38" borderId="36" xfId="0" applyFont="1" applyFill="1" applyBorder="1" applyAlignment="1" applyProtection="1">
      <alignment horizontal="left"/>
      <protection hidden="1"/>
    </xf>
    <xf numFmtId="14" fontId="52" fillId="37" borderId="36" xfId="0" applyNumberFormat="1" applyFont="1" applyFill="1" applyBorder="1" applyAlignment="1" applyProtection="1">
      <alignment horizontal="center"/>
      <protection hidden="1" locked="0"/>
    </xf>
    <xf numFmtId="0" fontId="6" fillId="0" borderId="0" xfId="0" applyFont="1" applyAlignment="1" applyProtection="1">
      <alignment/>
      <protection hidden="1"/>
    </xf>
    <xf numFmtId="0" fontId="6" fillId="0" borderId="0" xfId="0" applyFont="1" applyBorder="1" applyAlignment="1" applyProtection="1">
      <alignment/>
      <protection hidden="1"/>
    </xf>
    <xf numFmtId="0" fontId="6" fillId="0" borderId="33" xfId="0" applyFont="1" applyBorder="1" applyAlignment="1" applyProtection="1">
      <alignment/>
      <protection hidden="1"/>
    </xf>
    <xf numFmtId="0" fontId="9" fillId="38" borderId="37" xfId="0" applyFont="1" applyFill="1" applyBorder="1" applyAlignment="1" applyProtection="1">
      <alignment horizontal="left"/>
      <protection hidden="1"/>
    </xf>
    <xf numFmtId="14" fontId="8" fillId="37" borderId="38" xfId="0" applyNumberFormat="1" applyFont="1" applyFill="1" applyBorder="1" applyAlignment="1" applyProtection="1">
      <alignment horizontal="center"/>
      <protection hidden="1" locked="0"/>
    </xf>
    <xf numFmtId="0" fontId="6" fillId="0" borderId="37" xfId="0" applyFont="1" applyBorder="1" applyAlignment="1" applyProtection="1">
      <alignment/>
      <protection hidden="1"/>
    </xf>
    <xf numFmtId="0" fontId="1" fillId="0" borderId="0" xfId="46" applyFont="1" applyBorder="1" applyAlignment="1" applyProtection="1">
      <alignment horizontal="center" vertical="center"/>
      <protection hidden="1"/>
    </xf>
    <xf numFmtId="0" fontId="5" fillId="37" borderId="0" xfId="0" applyFont="1" applyFill="1" applyBorder="1" applyAlignment="1" applyProtection="1">
      <alignment horizontal="center" vertical="center" wrapText="1"/>
      <protection hidden="1"/>
    </xf>
    <xf numFmtId="9" fontId="6" fillId="0" borderId="0" xfId="0" applyNumberFormat="1" applyFont="1" applyFill="1" applyBorder="1" applyAlignment="1" applyProtection="1">
      <alignment horizontal="left"/>
      <protection hidden="1"/>
    </xf>
    <xf numFmtId="0" fontId="6" fillId="0" borderId="39" xfId="0" applyFont="1" applyBorder="1" applyAlignment="1" applyProtection="1">
      <alignment/>
      <protection hidden="1"/>
    </xf>
    <xf numFmtId="14" fontId="6" fillId="0" borderId="40" xfId="0" applyNumberFormat="1" applyFont="1" applyBorder="1" applyAlignment="1" applyProtection="1">
      <alignment/>
      <protection hidden="1"/>
    </xf>
    <xf numFmtId="14" fontId="6" fillId="0" borderId="41" xfId="0" applyNumberFormat="1" applyFont="1" applyBorder="1" applyAlignment="1" applyProtection="1">
      <alignment horizontal="right" indent="1"/>
      <protection hidden="1"/>
    </xf>
    <xf numFmtId="0" fontId="6" fillId="0" borderId="34" xfId="0" applyFont="1" applyBorder="1" applyAlignment="1" applyProtection="1">
      <alignment/>
      <protection hidden="1"/>
    </xf>
    <xf numFmtId="0" fontId="5" fillId="37" borderId="40" xfId="0" applyFont="1" applyFill="1" applyBorder="1" applyAlignment="1" applyProtection="1">
      <alignment/>
      <protection hidden="1"/>
    </xf>
    <xf numFmtId="9" fontId="5" fillId="37" borderId="41" xfId="64" applyFont="1" applyFill="1" applyBorder="1" applyAlignment="1" applyProtection="1">
      <alignment horizontal="right" indent="1"/>
      <protection hidden="1" locked="0"/>
    </xf>
    <xf numFmtId="14" fontId="6" fillId="0" borderId="39" xfId="0" applyNumberFormat="1" applyFont="1" applyBorder="1" applyAlignment="1" applyProtection="1">
      <alignment/>
      <protection hidden="1"/>
    </xf>
    <xf numFmtId="0" fontId="6" fillId="0" borderId="34" xfId="0" applyNumberFormat="1" applyFont="1" applyBorder="1" applyAlignment="1" applyProtection="1">
      <alignment horizontal="right" indent="1"/>
      <protection hidden="1"/>
    </xf>
    <xf numFmtId="0" fontId="53" fillId="37" borderId="39" xfId="0" applyFont="1" applyFill="1" applyBorder="1" applyAlignment="1" applyProtection="1">
      <alignment/>
      <protection hidden="1"/>
    </xf>
    <xf numFmtId="179" fontId="11" fillId="37" borderId="34" xfId="0" applyNumberFormat="1" applyFont="1" applyFill="1" applyBorder="1" applyAlignment="1" applyProtection="1">
      <alignment horizontal="right" indent="1"/>
      <protection hidden="1" locked="0"/>
    </xf>
    <xf numFmtId="14" fontId="6" fillId="0" borderId="34" xfId="0" applyNumberFormat="1" applyFont="1" applyBorder="1" applyAlignment="1" applyProtection="1">
      <alignment horizontal="right" indent="1"/>
      <protection hidden="1"/>
    </xf>
    <xf numFmtId="14" fontId="6" fillId="0" borderId="34" xfId="0" applyNumberFormat="1" applyFont="1" applyBorder="1" applyAlignment="1" applyProtection="1">
      <alignment horizontal="center"/>
      <protection hidden="1"/>
    </xf>
    <xf numFmtId="0" fontId="8" fillId="37" borderId="39" xfId="0" applyFont="1" applyFill="1" applyBorder="1" applyAlignment="1" applyProtection="1">
      <alignment/>
      <protection hidden="1"/>
    </xf>
    <xf numFmtId="184" fontId="8" fillId="37" borderId="34" xfId="49" applyNumberFormat="1" applyFont="1" applyFill="1" applyBorder="1" applyAlignment="1" applyProtection="1">
      <alignment horizontal="right" indent="1"/>
      <protection hidden="1" locked="0"/>
    </xf>
    <xf numFmtId="0" fontId="6" fillId="0" borderId="42" xfId="0" applyFont="1" applyBorder="1" applyAlignment="1" applyProtection="1">
      <alignment/>
      <protection hidden="1"/>
    </xf>
    <xf numFmtId="184" fontId="6" fillId="0" borderId="43" xfId="49" applyNumberFormat="1" applyFont="1" applyBorder="1" applyAlignment="1" applyProtection="1">
      <alignment horizontal="right" indent="1"/>
      <protection hidden="1" locked="0"/>
    </xf>
    <xf numFmtId="179" fontId="6" fillId="0" borderId="34" xfId="64" applyNumberFormat="1" applyFont="1" applyBorder="1" applyAlignment="1" applyProtection="1">
      <alignment horizontal="right" indent="1"/>
      <protection hidden="1"/>
    </xf>
    <xf numFmtId="14" fontId="5" fillId="0" borderId="34" xfId="0" applyNumberFormat="1" applyFont="1" applyBorder="1" applyAlignment="1" applyProtection="1">
      <alignment horizontal="right" indent="1"/>
      <protection hidden="1"/>
    </xf>
    <xf numFmtId="183" fontId="6" fillId="0" borderId="34" xfId="49" applyNumberFormat="1" applyFont="1" applyBorder="1" applyAlignment="1" applyProtection="1">
      <alignment horizontal="right" indent="1"/>
      <protection hidden="1"/>
    </xf>
    <xf numFmtId="14" fontId="6" fillId="0" borderId="42" xfId="0" applyNumberFormat="1" applyFont="1" applyBorder="1" applyAlignment="1" applyProtection="1">
      <alignment/>
      <protection hidden="1"/>
    </xf>
    <xf numFmtId="14" fontId="6" fillId="0" borderId="43" xfId="0" applyNumberFormat="1" applyFont="1" applyBorder="1" applyAlignment="1" applyProtection="1">
      <alignment horizontal="right" indent="1"/>
      <protection hidden="1"/>
    </xf>
    <xf numFmtId="191" fontId="7" fillId="37" borderId="34" xfId="49" applyNumberFormat="1" applyFont="1" applyFill="1" applyBorder="1" applyAlignment="1" applyProtection="1">
      <alignment horizontal="right" indent="1"/>
      <protection hidden="1" locked="0"/>
    </xf>
    <xf numFmtId="191" fontId="6" fillId="0" borderId="43" xfId="49" applyNumberFormat="1" applyFont="1" applyBorder="1" applyAlignment="1" applyProtection="1">
      <alignment horizontal="right" indent="1"/>
      <protection hidden="1"/>
    </xf>
    <xf numFmtId="0" fontId="53" fillId="36" borderId="40" xfId="0" applyFont="1" applyFill="1" applyBorder="1" applyAlignment="1" applyProtection="1">
      <alignment/>
      <protection hidden="1"/>
    </xf>
    <xf numFmtId="2" fontId="8" fillId="36" borderId="41" xfId="0" applyNumberFormat="1" applyFont="1" applyFill="1" applyBorder="1" applyAlignment="1" applyProtection="1">
      <alignment horizontal="right" indent="1"/>
      <protection hidden="1"/>
    </xf>
    <xf numFmtId="14" fontId="6" fillId="0" borderId="44" xfId="0" applyNumberFormat="1" applyFont="1" applyBorder="1" applyAlignment="1" applyProtection="1">
      <alignment/>
      <protection hidden="1"/>
    </xf>
    <xf numFmtId="0" fontId="53" fillId="36" borderId="39" xfId="0" applyFont="1" applyFill="1" applyBorder="1" applyAlignment="1" applyProtection="1">
      <alignment/>
      <protection hidden="1"/>
    </xf>
    <xf numFmtId="2" fontId="8" fillId="36" borderId="34" xfId="0" applyNumberFormat="1" applyFont="1" applyFill="1" applyBorder="1" applyAlignment="1" applyProtection="1">
      <alignment horizontal="right" indent="1"/>
      <protection hidden="1"/>
    </xf>
    <xf numFmtId="2" fontId="8" fillId="36" borderId="0" xfId="0" applyNumberFormat="1" applyFont="1" applyFill="1" applyBorder="1" applyAlignment="1" applyProtection="1">
      <alignment horizontal="center"/>
      <protection hidden="1"/>
    </xf>
    <xf numFmtId="0" fontId="8" fillId="36" borderId="39" xfId="0" applyFont="1" applyFill="1" applyBorder="1" applyAlignment="1" applyProtection="1">
      <alignment/>
      <protection hidden="1"/>
    </xf>
    <xf numFmtId="0" fontId="8" fillId="36" borderId="42" xfId="0" applyFont="1" applyFill="1" applyBorder="1" applyAlignment="1" applyProtection="1">
      <alignment/>
      <protection hidden="1"/>
    </xf>
    <xf numFmtId="2" fontId="8" fillId="36" borderId="43" xfId="0" applyNumberFormat="1" applyFont="1" applyFill="1" applyBorder="1" applyAlignment="1" applyProtection="1">
      <alignment horizontal="right" indent="1"/>
      <protection hidden="1"/>
    </xf>
    <xf numFmtId="0" fontId="9" fillId="0" borderId="0" xfId="0" applyFont="1" applyFill="1" applyBorder="1" applyAlignment="1" applyProtection="1">
      <alignment horizontal="left"/>
      <protection hidden="1"/>
    </xf>
    <xf numFmtId="184" fontId="6" fillId="0" borderId="0" xfId="51" applyNumberFormat="1" applyFont="1" applyFill="1" applyBorder="1" applyAlignment="1" applyProtection="1">
      <alignment horizontal="right" indent="1"/>
      <protection hidden="1"/>
    </xf>
    <xf numFmtId="191" fontId="6" fillId="0" borderId="0" xfId="0" applyNumberFormat="1" applyFont="1" applyAlignment="1" applyProtection="1">
      <alignment/>
      <protection hidden="1"/>
    </xf>
    <xf numFmtId="0" fontId="12" fillId="36" borderId="0" xfId="0" applyFont="1" applyFill="1" applyAlignment="1" applyProtection="1">
      <alignment horizontal="right"/>
      <protection hidden="1"/>
    </xf>
    <xf numFmtId="0" fontId="12" fillId="0" borderId="0" xfId="0" applyFont="1" applyAlignment="1" applyProtection="1">
      <alignment/>
      <protection hidden="1"/>
    </xf>
    <xf numFmtId="0" fontId="8" fillId="33" borderId="0" xfId="0" applyFont="1" applyFill="1" applyBorder="1" applyAlignment="1" applyProtection="1">
      <alignment/>
      <protection hidden="1"/>
    </xf>
    <xf numFmtId="193" fontId="8" fillId="33" borderId="0" xfId="51" applyNumberFormat="1" applyFont="1" applyFill="1" applyBorder="1" applyAlignment="1" applyProtection="1">
      <alignment horizontal="center"/>
      <protection locked="0"/>
    </xf>
    <xf numFmtId="2" fontId="4" fillId="33" borderId="31" xfId="64" applyNumberFormat="1" applyFont="1" applyFill="1" applyBorder="1" applyAlignment="1" applyProtection="1">
      <alignment horizontal="center" vertical="center" wrapText="1"/>
      <protection hidden="1"/>
    </xf>
    <xf numFmtId="178" fontId="4" fillId="33" borderId="28" xfId="64" applyNumberFormat="1" applyFont="1" applyFill="1" applyBorder="1" applyAlignment="1" applyProtection="1">
      <alignment horizontal="center" vertical="center" wrapText="1"/>
      <protection hidden="1"/>
    </xf>
    <xf numFmtId="2" fontId="4" fillId="33" borderId="28" xfId="64" applyNumberFormat="1" applyFont="1" applyFill="1" applyBorder="1" applyAlignment="1" applyProtection="1">
      <alignment horizontal="center" vertical="center" wrapText="1"/>
      <protection hidden="1"/>
    </xf>
    <xf numFmtId="178" fontId="4" fillId="33" borderId="29" xfId="64" applyNumberFormat="1" applyFont="1" applyFill="1" applyBorder="1" applyAlignment="1" applyProtection="1">
      <alignment horizontal="center" vertical="center" wrapText="1"/>
      <protection hidden="1"/>
    </xf>
    <xf numFmtId="0" fontId="4" fillId="33" borderId="28" xfId="0" applyFont="1" applyFill="1" applyBorder="1" applyAlignment="1" applyProtection="1">
      <alignment horizontal="center" vertical="center" wrapText="1"/>
      <protection hidden="1"/>
    </xf>
    <xf numFmtId="0" fontId="4" fillId="33" borderId="27" xfId="0" applyFont="1" applyFill="1" applyBorder="1" applyAlignment="1" applyProtection="1">
      <alignment horizontal="center" vertical="center" wrapText="1"/>
      <protection hidden="1"/>
    </xf>
    <xf numFmtId="0" fontId="4" fillId="33" borderId="30" xfId="0" applyFont="1" applyFill="1" applyBorder="1" applyAlignment="1" applyProtection="1">
      <alignment horizontal="center" vertical="center" wrapText="1"/>
      <protection hidden="1"/>
    </xf>
    <xf numFmtId="2" fontId="4" fillId="33" borderId="30" xfId="64" applyNumberFormat="1" applyFont="1" applyFill="1" applyBorder="1" applyAlignment="1" applyProtection="1">
      <alignment horizontal="center" vertical="center" wrapText="1"/>
      <protection hidden="1"/>
    </xf>
    <xf numFmtId="0" fontId="9" fillId="38" borderId="0" xfId="0" applyFont="1" applyFill="1" applyBorder="1" applyAlignment="1" applyProtection="1">
      <alignment horizontal="center" vertical="center"/>
      <protection hidden="1"/>
    </xf>
    <xf numFmtId="0" fontId="9" fillId="38" borderId="35" xfId="0" applyFont="1" applyFill="1" applyBorder="1" applyAlignment="1" applyProtection="1">
      <alignment horizontal="center"/>
      <protection hidden="1"/>
    </xf>
    <xf numFmtId="0" fontId="9" fillId="38" borderId="36" xfId="0" applyFont="1" applyFill="1" applyBorder="1" applyAlignment="1" applyProtection="1">
      <alignment horizontal="center"/>
      <protection hidden="1"/>
    </xf>
    <xf numFmtId="0" fontId="51" fillId="38" borderId="45" xfId="0" applyFont="1" applyFill="1" applyBorder="1" applyAlignment="1" applyProtection="1">
      <alignment horizontal="center"/>
      <protection hidden="1"/>
    </xf>
    <xf numFmtId="0" fontId="51" fillId="38" borderId="41" xfId="0" applyFont="1" applyFill="1" applyBorder="1" applyAlignment="1" applyProtection="1">
      <alignment horizontal="center"/>
      <protection hidden="1"/>
    </xf>
    <xf numFmtId="0" fontId="0" fillId="0" borderId="26" xfId="0" applyFont="1" applyFill="1" applyBorder="1" applyAlignment="1" applyProtection="1">
      <alignment horizontal="center"/>
      <protection hidden="1"/>
    </xf>
    <xf numFmtId="0" fontId="0" fillId="0" borderId="46" xfId="0" applyFont="1" applyFill="1" applyBorder="1" applyAlignment="1" applyProtection="1">
      <alignment horizontal="center"/>
      <protection hidden="1"/>
    </xf>
    <xf numFmtId="178" fontId="0" fillId="35" borderId="17" xfId="64" applyNumberFormat="1" applyFont="1" applyFill="1" applyBorder="1" applyAlignment="1" applyProtection="1">
      <alignment horizontal="center" vertical="center" wrapText="1"/>
      <protection hidden="1"/>
    </xf>
    <xf numFmtId="0" fontId="0" fillId="35" borderId="32" xfId="0" applyFont="1" applyFill="1" applyBorder="1" applyAlignment="1" applyProtection="1">
      <alignment horizontal="center" vertical="center" wrapText="1"/>
      <protection hidden="1"/>
    </xf>
    <xf numFmtId="0" fontId="0" fillId="33" borderId="0" xfId="0" applyNumberFormat="1" applyFont="1" applyFill="1" applyAlignment="1" applyProtection="1">
      <alignment horizontal="justify" vertical="justify" wrapText="1"/>
      <protection hidden="1"/>
    </xf>
    <xf numFmtId="0" fontId="0" fillId="33" borderId="0" xfId="0" applyFont="1" applyFill="1" applyAlignment="1" applyProtection="1">
      <alignment horizontal="justify" vertical="justify" wrapText="1"/>
      <protection hidden="1"/>
    </xf>
  </cellXfs>
  <cellStyles count="6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2 2" xfId="52"/>
    <cellStyle name="Millares 3" xfId="53"/>
    <cellStyle name="Millares 4" xfId="54"/>
    <cellStyle name="Currency" xfId="55"/>
    <cellStyle name="Currency [0]" xfId="56"/>
    <cellStyle name="Moneda 2" xfId="57"/>
    <cellStyle name="Moneda 3" xfId="58"/>
    <cellStyle name="Moneda 4" xfId="59"/>
    <cellStyle name="Neutral" xfId="60"/>
    <cellStyle name="Normal 2" xfId="61"/>
    <cellStyle name="Normal 3" xfId="62"/>
    <cellStyle name="Notas" xfId="63"/>
    <cellStyle name="Percent" xfId="64"/>
    <cellStyle name="Porcentaje 2" xfId="65"/>
    <cellStyle name="Porcentaje 3" xfId="66"/>
    <cellStyle name="Porcentaje 3 2" xfId="67"/>
    <cellStyle name="Porcentaje 4" xfId="68"/>
    <cellStyle name="Porcentaje 5" xfId="69"/>
    <cellStyle name="Salida" xfId="70"/>
    <cellStyle name="Texto de advertencia" xfId="71"/>
    <cellStyle name="Texto explicativo" xfId="72"/>
    <cellStyle name="Título" xfId="73"/>
    <cellStyle name="Título 2" xfId="74"/>
    <cellStyle name="Título 3" xfId="75"/>
    <cellStyle name="Total" xfId="76"/>
  </cellStyles>
  <dxfs count="12">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485775</xdr:colOff>
      <xdr:row>0</xdr:row>
      <xdr:rowOff>123825</xdr:rowOff>
    </xdr:from>
    <xdr:to>
      <xdr:col>1</xdr:col>
      <xdr:colOff>1638300</xdr:colOff>
      <xdr:row>7</xdr:row>
      <xdr:rowOff>66675</xdr:rowOff>
    </xdr:to>
    <xdr:pic>
      <xdr:nvPicPr>
        <xdr:cNvPr id="1" name="Picture 8"/>
        <xdr:cNvPicPr preferRelativeResize="1">
          <a:picLocks noChangeAspect="1"/>
        </xdr:cNvPicPr>
      </xdr:nvPicPr>
      <xdr:blipFill>
        <a:blip r:embed="rId1"/>
        <a:stretch>
          <a:fillRect/>
        </a:stretch>
      </xdr:blipFill>
      <xdr:spPr>
        <a:xfrm>
          <a:off x="733425" y="123825"/>
          <a:ext cx="1152525" cy="1219200"/>
        </a:xfrm>
        <a:prstGeom prst="rect">
          <a:avLst/>
        </a:prstGeom>
        <a:noFill/>
        <a:ln w="9525" cmpd="sng">
          <a:noFill/>
        </a:ln>
      </xdr:spPr>
    </xdr:pic>
    <xdr:clientData/>
  </xdr:twoCellAnchor>
  <xdr:twoCellAnchor editAs="oneCell">
    <xdr:from>
      <xdr:col>0</xdr:col>
      <xdr:colOff>152400</xdr:colOff>
      <xdr:row>1</xdr:row>
      <xdr:rowOff>76200</xdr:rowOff>
    </xdr:from>
    <xdr:to>
      <xdr:col>1</xdr:col>
      <xdr:colOff>2514600</xdr:colOff>
      <xdr:row>6</xdr:row>
      <xdr:rowOff>133350</xdr:rowOff>
    </xdr:to>
    <xdr:pic>
      <xdr:nvPicPr>
        <xdr:cNvPr id="2" name="1 Imagen"/>
        <xdr:cNvPicPr preferRelativeResize="1">
          <a:picLocks noChangeAspect="1"/>
        </xdr:cNvPicPr>
      </xdr:nvPicPr>
      <xdr:blipFill>
        <a:blip r:embed="rId2"/>
        <a:stretch>
          <a:fillRect/>
        </a:stretch>
      </xdr:blipFill>
      <xdr:spPr>
        <a:xfrm>
          <a:off x="152400" y="238125"/>
          <a:ext cx="2609850"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Hoja1"/>
  <dimension ref="A1:K26"/>
  <sheetViews>
    <sheetView showGridLines="0" tabSelected="1" zoomScalePageLayoutView="0" workbookViewId="0" topLeftCell="A1">
      <selection activeCell="F12" sqref="F12"/>
    </sheetView>
  </sheetViews>
  <sheetFormatPr defaultColWidth="0" defaultRowHeight="12.75" customHeight="1" zeroHeight="1"/>
  <cols>
    <col min="1" max="1" width="3.7109375" style="147" customWidth="1"/>
    <col min="2" max="2" width="52.57421875" style="147" bestFit="1" customWidth="1"/>
    <col min="3" max="3" width="38.140625" style="147" bestFit="1" customWidth="1"/>
    <col min="4" max="4" width="2.140625" style="147" customWidth="1"/>
    <col min="5" max="5" width="67.28125" style="147" bestFit="1" customWidth="1"/>
    <col min="6" max="6" width="21.00390625" style="147" customWidth="1"/>
    <col min="7" max="7" width="9.7109375" style="147" customWidth="1"/>
    <col min="8" max="8" width="15.28125" style="137" hidden="1" customWidth="1"/>
    <col min="9" max="10" width="8.140625" style="137" hidden="1" customWidth="1"/>
    <col min="11" max="11" width="8.140625" style="139" hidden="1" customWidth="1"/>
    <col min="12" max="16384" width="8.140625" style="132" hidden="1" customWidth="1"/>
  </cols>
  <sheetData>
    <row r="1" spans="1:11" ht="12.75">
      <c r="A1" s="130"/>
      <c r="B1" s="131"/>
      <c r="C1" s="131"/>
      <c r="D1" s="131"/>
      <c r="E1" s="131"/>
      <c r="F1" s="131"/>
      <c r="G1" s="131"/>
      <c r="H1" s="132" t="str">
        <f>+Características!B1</f>
        <v>TIL Pesos L-1 A 2019</v>
      </c>
      <c r="I1" s="132"/>
      <c r="J1" s="133"/>
      <c r="K1" s="134"/>
    </row>
    <row r="2" spans="1:10" ht="12.75">
      <c r="A2" s="130"/>
      <c r="B2" s="135"/>
      <c r="C2" s="203" t="s">
        <v>53</v>
      </c>
      <c r="D2" s="203"/>
      <c r="E2" s="203"/>
      <c r="F2" s="136"/>
      <c r="G2" s="136"/>
      <c r="J2" s="138"/>
    </row>
    <row r="3" spans="1:10" ht="15" customHeight="1">
      <c r="A3" s="130"/>
      <c r="B3" s="140"/>
      <c r="C3" s="141"/>
      <c r="D3" s="141"/>
      <c r="E3" s="140"/>
      <c r="F3" s="140"/>
      <c r="G3" s="140"/>
      <c r="J3" s="142"/>
    </row>
    <row r="4" spans="1:10" ht="15" customHeight="1">
      <c r="A4" s="130"/>
      <c r="B4" s="143"/>
      <c r="C4" s="144" t="s">
        <v>54</v>
      </c>
      <c r="D4" s="145"/>
      <c r="E4" s="146" t="s">
        <v>50</v>
      </c>
      <c r="G4" s="148"/>
      <c r="H4" s="132" t="s">
        <v>20</v>
      </c>
      <c r="J4" s="142"/>
    </row>
    <row r="5" spans="1:10" ht="15" customHeight="1">
      <c r="A5" s="130"/>
      <c r="B5" s="130"/>
      <c r="C5" s="149"/>
      <c r="F5" s="148"/>
      <c r="G5" s="148"/>
      <c r="H5" s="132" t="s">
        <v>38</v>
      </c>
      <c r="J5" s="142"/>
    </row>
    <row r="6" spans="1:10" ht="15" customHeight="1">
      <c r="A6" s="130"/>
      <c r="B6" s="143"/>
      <c r="C6" s="150" t="s">
        <v>55</v>
      </c>
      <c r="D6" s="150"/>
      <c r="E6" s="151">
        <v>43269</v>
      </c>
      <c r="F6" s="148"/>
      <c r="G6" s="148"/>
      <c r="H6" s="132" t="s">
        <v>39</v>
      </c>
      <c r="J6" s="142"/>
    </row>
    <row r="7" spans="1:10" ht="15" customHeight="1">
      <c r="A7" s="130"/>
      <c r="B7" s="130"/>
      <c r="C7" s="152"/>
      <c r="D7" s="152"/>
      <c r="E7" s="148"/>
      <c r="F7" s="148"/>
      <c r="G7" s="148"/>
      <c r="H7" s="132" t="s">
        <v>40</v>
      </c>
      <c r="J7" s="142"/>
    </row>
    <row r="8" spans="1:10" ht="39.75" customHeight="1">
      <c r="A8" s="130"/>
      <c r="B8" s="130"/>
      <c r="D8" s="148"/>
      <c r="E8" s="153" t="s">
        <v>67</v>
      </c>
      <c r="F8" s="154" t="s">
        <v>68</v>
      </c>
      <c r="G8" s="148"/>
      <c r="H8" s="155">
        <v>0.2</v>
      </c>
      <c r="J8" s="142"/>
    </row>
    <row r="9" spans="1:10" ht="15" customHeight="1">
      <c r="A9" s="130"/>
      <c r="B9" s="204" t="s">
        <v>56</v>
      </c>
      <c r="C9" s="205"/>
      <c r="D9" s="156"/>
      <c r="E9" s="206" t="s">
        <v>69</v>
      </c>
      <c r="F9" s="207"/>
      <c r="G9" s="148"/>
      <c r="H9" s="132" t="s">
        <v>21</v>
      </c>
      <c r="J9" s="142"/>
    </row>
    <row r="10" spans="1:10" ht="15" customHeight="1">
      <c r="A10" s="130"/>
      <c r="B10" s="157" t="s">
        <v>57</v>
      </c>
      <c r="C10" s="158" t="str">
        <f>+HLOOKUP(E4,Características!B1:C7,2,FALSE)</f>
        <v>STILA4170919</v>
      </c>
      <c r="D10" s="159"/>
      <c r="E10" s="160" t="s">
        <v>70</v>
      </c>
      <c r="F10" s="161" t="s">
        <v>21</v>
      </c>
      <c r="G10" s="148"/>
      <c r="J10" s="142"/>
    </row>
    <row r="11" spans="1:10" ht="15" customHeight="1">
      <c r="A11" s="143"/>
      <c r="B11" s="162" t="s">
        <v>47</v>
      </c>
      <c r="C11" s="163" t="str">
        <f>+HLOOKUP(E4,Características!B1:C7,3,FALSE)</f>
        <v>COT80CHGRALTYITIL0AD0001</v>
      </c>
      <c r="D11" s="159"/>
      <c r="E11" s="164" t="s">
        <v>71</v>
      </c>
      <c r="F11" s="165">
        <v>0.08</v>
      </c>
      <c r="G11" s="148"/>
      <c r="J11" s="142"/>
    </row>
    <row r="12" spans="1:10" ht="15" customHeight="1">
      <c r="A12" s="143"/>
      <c r="B12" s="162" t="s">
        <v>58</v>
      </c>
      <c r="C12" s="166">
        <f>+HLOOKUP(E4,Características!B1:C7,4,1)</f>
        <v>42264</v>
      </c>
      <c r="D12" s="167"/>
      <c r="E12" s="168" t="s">
        <v>72</v>
      </c>
      <c r="F12" s="169">
        <v>99.933</v>
      </c>
      <c r="G12" s="148"/>
      <c r="J12" s="142"/>
    </row>
    <row r="13" spans="1:10" ht="12.75">
      <c r="A13" s="143"/>
      <c r="B13" s="162" t="s">
        <v>59</v>
      </c>
      <c r="C13" s="166">
        <f>+HLOOKUP(E4,Características!B1:C7,5,FALSE)</f>
        <v>43725</v>
      </c>
      <c r="D13" s="167"/>
      <c r="E13" s="170" t="s">
        <v>73</v>
      </c>
      <c r="F13" s="171">
        <v>99.952</v>
      </c>
      <c r="G13" s="148"/>
      <c r="J13" s="142"/>
    </row>
    <row r="14" spans="1:10" ht="12.75">
      <c r="A14" s="143"/>
      <c r="B14" s="162" t="s">
        <v>60</v>
      </c>
      <c r="C14" s="172">
        <f>+Características!B6</f>
        <v>0.07</v>
      </c>
      <c r="D14" s="167"/>
      <c r="E14" s="157" t="s">
        <v>74</v>
      </c>
      <c r="F14" s="173">
        <f>+VLOOKUP(0,Flujos!D2:I182,6,FALSE)</f>
        <v>43298</v>
      </c>
      <c r="G14" s="148"/>
      <c r="J14" s="142"/>
    </row>
    <row r="15" spans="1:10" ht="12.75">
      <c r="A15" s="143"/>
      <c r="B15" s="162" t="s">
        <v>61</v>
      </c>
      <c r="C15" s="172">
        <f>+ROUND(((1+C14)^(1/12)-1)*12,6)</f>
        <v>0.06785</v>
      </c>
      <c r="D15" s="167"/>
      <c r="E15" s="156" t="s">
        <v>75</v>
      </c>
      <c r="F15" s="174">
        <f>+Flujos!C183*100</f>
        <v>2.004591</v>
      </c>
      <c r="G15" s="148"/>
      <c r="J15" s="142"/>
    </row>
    <row r="16" spans="1:10" ht="12.75">
      <c r="A16" s="143"/>
      <c r="B16" s="175" t="s">
        <v>62</v>
      </c>
      <c r="C16" s="176" t="str">
        <f>+HLOOKUP(E4,Características!B1:C7,7,FALSE)</f>
        <v>COP</v>
      </c>
      <c r="D16" s="167"/>
      <c r="E16" s="164" t="s">
        <v>76</v>
      </c>
      <c r="F16" s="177">
        <v>1000000000</v>
      </c>
      <c r="G16" s="148"/>
      <c r="J16" s="142"/>
    </row>
    <row r="17" spans="1:10" ht="12.75">
      <c r="A17" s="130"/>
      <c r="B17" s="148"/>
      <c r="C17" s="148"/>
      <c r="D17" s="167"/>
      <c r="E17" s="170" t="s">
        <v>77</v>
      </c>
      <c r="F17" s="178">
        <f>+Características!B20</f>
        <v>999518000</v>
      </c>
      <c r="G17" s="148"/>
      <c r="J17" s="142"/>
    </row>
    <row r="18" spans="1:10" ht="16.5" customHeight="1">
      <c r="A18" s="143"/>
      <c r="B18" s="179" t="s">
        <v>63</v>
      </c>
      <c r="C18" s="180">
        <f>+SUMPRODUCT(Flujos!B2:B182,Flujos!C2:C182)/Flujos!C183/365</f>
        <v>0.07945205479452055</v>
      </c>
      <c r="D18" s="181"/>
      <c r="E18" s="148"/>
      <c r="F18" s="152"/>
      <c r="G18" s="148"/>
      <c r="J18" s="142"/>
    </row>
    <row r="19" spans="1:10" ht="16.5" customHeight="1">
      <c r="A19" s="143"/>
      <c r="B19" s="182" t="s">
        <v>64</v>
      </c>
      <c r="C19" s="183">
        <f>+SUMPRODUCT(Flujos!C2:C182,Flujos!K2:K182)/365</f>
        <v>1.6674295212602739</v>
      </c>
      <c r="D19" s="130"/>
      <c r="E19" s="148"/>
      <c r="F19" s="184"/>
      <c r="G19" s="148"/>
      <c r="J19" s="142"/>
    </row>
    <row r="20" spans="1:10" ht="16.5" customHeight="1">
      <c r="A20" s="143"/>
      <c r="B20" s="185" t="s">
        <v>65</v>
      </c>
      <c r="C20" s="183">
        <f>+SUMPRODUCT(Flujos!B2:B182,Flujos!H2:H182)/Flujos!H183/365</f>
        <v>0.07945205479452055</v>
      </c>
      <c r="D20" s="130"/>
      <c r="E20" s="148"/>
      <c r="F20" s="184"/>
      <c r="G20" s="148"/>
      <c r="J20" s="142"/>
    </row>
    <row r="21" spans="1:10" ht="16.5" customHeight="1">
      <c r="A21" s="143"/>
      <c r="B21" s="186" t="s">
        <v>66</v>
      </c>
      <c r="C21" s="187">
        <f>+C20/(1+F11)</f>
        <v>0.07356671740233384</v>
      </c>
      <c r="E21" s="148"/>
      <c r="F21" s="184"/>
      <c r="G21" s="148"/>
      <c r="J21" s="142"/>
    </row>
    <row r="22" ht="12.75">
      <c r="J22" s="142"/>
    </row>
    <row r="23" spans="2:10" ht="12.75">
      <c r="B23" s="193"/>
      <c r="C23" s="194"/>
      <c r="J23" s="142"/>
    </row>
    <row r="24" ht="12.75">
      <c r="J24" s="142"/>
    </row>
    <row r="25" spans="2:10" ht="12.75">
      <c r="B25" s="188"/>
      <c r="C25" s="189"/>
      <c r="F25" s="190"/>
      <c r="J25" s="142"/>
    </row>
    <row r="26" spans="2:10" ht="12.75">
      <c r="B26" s="132"/>
      <c r="C26" s="132"/>
      <c r="E26" s="191"/>
      <c r="F26" s="192"/>
      <c r="J26" s="142"/>
    </row>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sheetData>
  <sheetProtection password="C5F9" sheet="1"/>
  <protectedRanges>
    <protectedRange sqref="E6 E4" name="Rango1"/>
  </protectedRanges>
  <mergeCells count="3">
    <mergeCell ref="C2:E2"/>
    <mergeCell ref="B9:C9"/>
    <mergeCell ref="E9:F9"/>
  </mergeCells>
  <dataValidations count="2">
    <dataValidation type="list" allowBlank="1" showInputMessage="1" showErrorMessage="1" sqref="F10">
      <formula1>$H$4:$H$9</formula1>
    </dataValidation>
    <dataValidation type="list" showInputMessage="1" showErrorMessage="1" sqref="E4">
      <formula1>$H$1</formula1>
    </dataValidation>
  </dataValidations>
  <hyperlinks>
    <hyperlink ref="E8" location="Exclusión!A1" display="Exclusión de responsabilidad"/>
  </hyperlinks>
  <printOptions/>
  <pageMargins left="0.5905511811023623" right="0.5905511811023623" top="0.984251968503937" bottom="0.984251968503937" header="0" footer="0"/>
  <pageSetup horizontalDpi="600" verticalDpi="600" orientation="landscape" r:id="rId3"/>
  <ignoredErrors>
    <ignoredError sqref="F17" unlockedFormula="1"/>
    <ignoredError sqref="C10:C16" emptyCellReference="1"/>
  </ignoredErrors>
  <drawing r:id="rId2"/>
  <legacyDrawing r:id="rId1"/>
</worksheet>
</file>

<file path=xl/worksheets/sheet2.xml><?xml version="1.0" encoding="utf-8"?>
<worksheet xmlns="http://schemas.openxmlformats.org/spreadsheetml/2006/main" xmlns:r="http://schemas.openxmlformats.org/officeDocument/2006/relationships">
  <sheetPr codeName="Hoja4"/>
  <dimension ref="A1:F65536"/>
  <sheetViews>
    <sheetView zoomScalePageLayoutView="0" workbookViewId="0" topLeftCell="A15">
      <selection activeCell="B39" sqref="B39"/>
    </sheetView>
  </sheetViews>
  <sheetFormatPr defaultColWidth="21.140625" defaultRowHeight="12.75"/>
  <cols>
    <col min="1" max="1" width="25.7109375" style="1" customWidth="1"/>
    <col min="2" max="2" width="26.421875" style="7" bestFit="1" customWidth="1"/>
    <col min="3" max="3" width="21.421875" style="7" bestFit="1" customWidth="1"/>
    <col min="4" max="4" width="21.140625" style="1" customWidth="1"/>
    <col min="5" max="6" width="11.00390625" style="1" bestFit="1" customWidth="1"/>
    <col min="7" max="16384" width="21.140625" style="1" customWidth="1"/>
  </cols>
  <sheetData>
    <row r="1" spans="1:6" ht="12.75">
      <c r="A1" s="27" t="s">
        <v>2</v>
      </c>
      <c r="B1" s="2" t="s">
        <v>50</v>
      </c>
      <c r="E1" s="3" t="s">
        <v>46</v>
      </c>
      <c r="F1" s="3"/>
    </row>
    <row r="2" spans="1:6" ht="12.75">
      <c r="A2" s="8" t="s">
        <v>12</v>
      </c>
      <c r="B2" s="118" t="s">
        <v>51</v>
      </c>
      <c r="E2" s="3">
        <v>40891</v>
      </c>
      <c r="F2" s="3"/>
    </row>
    <row r="3" spans="1:6" ht="12.75">
      <c r="A3" s="8" t="s">
        <v>47</v>
      </c>
      <c r="B3" s="118" t="s">
        <v>52</v>
      </c>
      <c r="E3" s="3">
        <f>+E2+1</f>
        <v>40892</v>
      </c>
      <c r="F3" s="3"/>
    </row>
    <row r="4" spans="1:6" ht="12.75">
      <c r="A4" s="8" t="s">
        <v>13</v>
      </c>
      <c r="B4" s="4">
        <v>42264</v>
      </c>
      <c r="C4" s="3"/>
      <c r="E4" s="3">
        <f aca="true" t="shared" si="0" ref="E4:E31">+E3+1</f>
        <v>40893</v>
      </c>
      <c r="F4" s="3"/>
    </row>
    <row r="5" spans="1:6" ht="12.75">
      <c r="A5" s="8" t="s">
        <v>14</v>
      </c>
      <c r="B5" s="4">
        <v>43725</v>
      </c>
      <c r="C5" s="3"/>
      <c r="E5" s="3">
        <f t="shared" si="0"/>
        <v>40894</v>
      </c>
      <c r="F5" s="3"/>
    </row>
    <row r="6" spans="1:6" ht="12.75">
      <c r="A6" s="8" t="s">
        <v>15</v>
      </c>
      <c r="B6" s="5">
        <v>0.07</v>
      </c>
      <c r="C6" s="38"/>
      <c r="E6" s="3">
        <f t="shared" si="0"/>
        <v>40895</v>
      </c>
      <c r="F6" s="3"/>
    </row>
    <row r="7" spans="1:6" ht="13.5" thickBot="1">
      <c r="A7" s="18" t="s">
        <v>16</v>
      </c>
      <c r="B7" s="6" t="s">
        <v>17</v>
      </c>
      <c r="E7" s="3">
        <f t="shared" si="0"/>
        <v>40896</v>
      </c>
      <c r="F7" s="3"/>
    </row>
    <row r="8" spans="5:6" ht="13.5" thickBot="1">
      <c r="E8" s="3">
        <f t="shared" si="0"/>
        <v>40897</v>
      </c>
      <c r="F8" s="3"/>
    </row>
    <row r="9" spans="1:6" ht="13.5" thickBot="1">
      <c r="A9" s="208" t="s">
        <v>26</v>
      </c>
      <c r="B9" s="209"/>
      <c r="E9" s="3">
        <f t="shared" si="0"/>
        <v>40898</v>
      </c>
      <c r="F9" s="3"/>
    </row>
    <row r="10" spans="1:6" ht="12.75">
      <c r="A10" s="8" t="s">
        <v>4</v>
      </c>
      <c r="B10" s="9">
        <f>+'CALCULADORA TIL L-1'!E6</f>
        <v>43269</v>
      </c>
      <c r="E10" s="3">
        <f t="shared" si="0"/>
        <v>40899</v>
      </c>
      <c r="F10" s="3"/>
    </row>
    <row r="11" spans="1:6" ht="12.75">
      <c r="A11" s="8" t="s">
        <v>5</v>
      </c>
      <c r="B11" s="9">
        <f>+VLOOKUP(B10,Flujos!$A$2:$A$182,1)</f>
        <v>43268</v>
      </c>
      <c r="E11" s="3">
        <f t="shared" si="0"/>
        <v>40900</v>
      </c>
      <c r="F11" s="3"/>
    </row>
    <row r="12" spans="1:6" ht="12.75">
      <c r="A12" s="8" t="s">
        <v>6</v>
      </c>
      <c r="B12" s="10">
        <f>+VLOOKUP(B11,Flujos!$A$2:$D$182,4)</f>
        <v>2.004591</v>
      </c>
      <c r="E12" s="3">
        <f t="shared" si="0"/>
        <v>40901</v>
      </c>
      <c r="F12" s="3"/>
    </row>
    <row r="13" spans="1:6" ht="12.75">
      <c r="A13" s="8" t="s">
        <v>7</v>
      </c>
      <c r="B13" s="10">
        <f>+VLOOKUP(_XLL.FECHA.MES(B10,1),Flujos!$A$2:$F$182,6)</f>
        <v>0.011334</v>
      </c>
      <c r="E13" s="3">
        <f t="shared" si="0"/>
        <v>40902</v>
      </c>
      <c r="F13" s="3"/>
    </row>
    <row r="14" spans="1:6" ht="12.75">
      <c r="A14" s="8" t="s">
        <v>3</v>
      </c>
      <c r="B14" s="11">
        <f>+DAYS360(B11,B10,TRUE)</f>
        <v>1</v>
      </c>
      <c r="E14" s="3">
        <f t="shared" si="0"/>
        <v>40903</v>
      </c>
      <c r="F14" s="3"/>
    </row>
    <row r="15" spans="1:6" ht="12.75">
      <c r="A15" s="8" t="s">
        <v>8</v>
      </c>
      <c r="B15" s="11">
        <v>30</v>
      </c>
      <c r="E15" s="3">
        <f t="shared" si="0"/>
        <v>40904</v>
      </c>
      <c r="F15" s="3"/>
    </row>
    <row r="16" spans="1:6" ht="12.75">
      <c r="A16" s="8" t="s">
        <v>9</v>
      </c>
      <c r="B16" s="12">
        <f>ROUND(B13/B12*B14/B15*100,4)</f>
        <v>0.0188</v>
      </c>
      <c r="E16" s="3">
        <f t="shared" si="0"/>
        <v>40905</v>
      </c>
      <c r="F16" s="3"/>
    </row>
    <row r="17" spans="1:6" ht="12.75">
      <c r="A17" s="8" t="s">
        <v>11</v>
      </c>
      <c r="B17" s="13">
        <f>+'CALCULADORA TIL L-1'!F12</f>
        <v>99.933</v>
      </c>
      <c r="E17" s="3">
        <f t="shared" si="0"/>
        <v>40906</v>
      </c>
      <c r="F17" s="3"/>
    </row>
    <row r="18" spans="1:6" ht="12.75">
      <c r="A18" s="8" t="s">
        <v>23</v>
      </c>
      <c r="B18" s="14">
        <f>+'CALCULADORA TIL L-1'!F16</f>
        <v>1000000000</v>
      </c>
      <c r="E18" s="3">
        <f t="shared" si="0"/>
        <v>40907</v>
      </c>
      <c r="F18" s="3"/>
    </row>
    <row r="19" spans="1:6" ht="12.75">
      <c r="A19" s="8" t="s">
        <v>16</v>
      </c>
      <c r="B19" s="12">
        <v>1</v>
      </c>
      <c r="E19" s="3">
        <f t="shared" si="0"/>
        <v>40908</v>
      </c>
      <c r="F19" s="3"/>
    </row>
    <row r="20" spans="1:6" ht="12.75">
      <c r="A20" s="8" t="s">
        <v>24</v>
      </c>
      <c r="B20" s="14">
        <f>ROUND(B18*B19*(B17+B16)/100,0)</f>
        <v>999518000</v>
      </c>
      <c r="C20" s="15"/>
      <c r="E20" s="3">
        <f t="shared" si="0"/>
        <v>40909</v>
      </c>
      <c r="F20" s="3"/>
    </row>
    <row r="21" spans="1:6" ht="12.75">
      <c r="A21" s="8" t="s">
        <v>25</v>
      </c>
      <c r="B21" s="16">
        <f>TRUNC(B20/B18,5)</f>
        <v>0.99951</v>
      </c>
      <c r="C21" s="17"/>
      <c r="E21" s="3">
        <f t="shared" si="0"/>
        <v>40910</v>
      </c>
      <c r="F21" s="3"/>
    </row>
    <row r="22" spans="1:6" ht="12.75">
      <c r="A22" s="8" t="s">
        <v>27</v>
      </c>
      <c r="B22" s="13">
        <f>TRUNC(B21/B19*100,3)</f>
        <v>99.951</v>
      </c>
      <c r="E22" s="3">
        <f t="shared" si="0"/>
        <v>40911</v>
      </c>
      <c r="F22" s="3"/>
    </row>
    <row r="23" spans="1:6" ht="12.75">
      <c r="A23" s="8" t="s">
        <v>28</v>
      </c>
      <c r="B23" s="13">
        <f>TRUNC(Flujos!H183/VLOOKUP('CALCULADORA TIL L-1'!E6,Flujos!A2:D182,4)*100,3)</f>
        <v>99.952</v>
      </c>
      <c r="E23" s="3">
        <f t="shared" si="0"/>
        <v>40912</v>
      </c>
      <c r="F23" s="3"/>
    </row>
    <row r="24" spans="1:6" ht="12.75">
      <c r="A24" s="8" t="s">
        <v>29</v>
      </c>
      <c r="B24" s="12">
        <f>+B22-B23</f>
        <v>-0.0010000000000047748</v>
      </c>
      <c r="E24" s="3">
        <f t="shared" si="0"/>
        <v>40913</v>
      </c>
      <c r="F24" s="3"/>
    </row>
    <row r="25" spans="1:6" ht="13.5" thickBot="1">
      <c r="A25" s="18" t="s">
        <v>30</v>
      </c>
      <c r="B25" s="19">
        <f>TRUNC('CALCULADORA TIL L-1'!F11,5)</f>
        <v>0.08</v>
      </c>
      <c r="E25" s="3">
        <f t="shared" si="0"/>
        <v>40914</v>
      </c>
      <c r="F25" s="3"/>
    </row>
    <row r="26" spans="5:6" ht="13.5" thickBot="1">
      <c r="E26" s="3">
        <f>+E25+1</f>
        <v>40915</v>
      </c>
      <c r="F26" s="3"/>
    </row>
    <row r="27" spans="1:6" ht="13.5" thickBot="1">
      <c r="A27" s="208" t="s">
        <v>37</v>
      </c>
      <c r="B27" s="209"/>
      <c r="E27" s="3">
        <f t="shared" si="0"/>
        <v>40916</v>
      </c>
      <c r="F27" s="3"/>
    </row>
    <row r="28" spans="1:6" ht="12.75">
      <c r="A28" s="8" t="s">
        <v>31</v>
      </c>
      <c r="B28" s="20">
        <f>TRUNC('CALCULADORA TIL L-1'!F11,5)</f>
        <v>0.08</v>
      </c>
      <c r="E28" s="3">
        <f t="shared" si="0"/>
        <v>40917</v>
      </c>
      <c r="F28" s="3"/>
    </row>
    <row r="29" spans="1:6" ht="12.75">
      <c r="A29" s="8" t="s">
        <v>28</v>
      </c>
      <c r="B29" s="13">
        <f>TRUNC(Flujos!H183/VLOOKUP('CALCULADORA TIL L-1'!E6,Flujos!A2:D182,4)*100,3)</f>
        <v>99.952</v>
      </c>
      <c r="E29" s="3">
        <f>+E28+1</f>
        <v>40918</v>
      </c>
      <c r="F29" s="3"/>
    </row>
    <row r="30" spans="1:6" ht="12.75">
      <c r="A30" s="1" t="s">
        <v>16</v>
      </c>
      <c r="B30" s="12">
        <v>1</v>
      </c>
      <c r="E30" s="3">
        <f t="shared" si="0"/>
        <v>40919</v>
      </c>
      <c r="F30" s="3"/>
    </row>
    <row r="31" spans="1:6" ht="12.75">
      <c r="A31" s="8" t="s">
        <v>23</v>
      </c>
      <c r="B31" s="14">
        <f>+'CALCULADORA TIL L-1'!F16</f>
        <v>1000000000</v>
      </c>
      <c r="E31" s="3">
        <f t="shared" si="0"/>
        <v>40920</v>
      </c>
      <c r="F31" s="3"/>
    </row>
    <row r="32" spans="1:6" ht="12.75">
      <c r="A32" s="8" t="s">
        <v>24</v>
      </c>
      <c r="B32" s="14">
        <f>+ROUND(B29/100*B31*B30,0)</f>
        <v>999520000</v>
      </c>
      <c r="E32" s="3"/>
      <c r="F32" s="3"/>
    </row>
    <row r="33" spans="1:6" ht="12.75">
      <c r="A33" s="8" t="s">
        <v>6</v>
      </c>
      <c r="B33" s="10">
        <f>+VLOOKUP(B11,Flujos!$A$2:$D$182,4)</f>
        <v>2.004591</v>
      </c>
      <c r="E33" s="3"/>
      <c r="F33" s="3"/>
    </row>
    <row r="34" spans="1:6" ht="12.75">
      <c r="A34" s="8" t="s">
        <v>7</v>
      </c>
      <c r="B34" s="10">
        <f>+VLOOKUP(_XLL.FECHA.MES(B10,1),Flujos!$A$2:$F$182,6)</f>
        <v>0.011334</v>
      </c>
      <c r="D34" s="21"/>
      <c r="E34" s="3"/>
      <c r="F34" s="3"/>
    </row>
    <row r="35" spans="1:6" ht="12.75">
      <c r="A35" s="8" t="s">
        <v>3</v>
      </c>
      <c r="B35" s="11">
        <f>+DAYS360(B11,B10,TRUE)</f>
        <v>1</v>
      </c>
      <c r="D35" s="22"/>
      <c r="E35" s="3"/>
      <c r="F35" s="3"/>
    </row>
    <row r="36" spans="1:6" ht="12.75">
      <c r="A36" s="8" t="s">
        <v>8</v>
      </c>
      <c r="B36" s="11">
        <v>30</v>
      </c>
      <c r="E36" s="3"/>
      <c r="F36" s="3"/>
    </row>
    <row r="37" spans="1:6" ht="12.75">
      <c r="A37" s="8" t="s">
        <v>25</v>
      </c>
      <c r="B37" s="16">
        <f>TRUNC(B32/(B30*B31),5)</f>
        <v>0.99952</v>
      </c>
      <c r="C37" s="23"/>
      <c r="E37" s="3"/>
      <c r="F37" s="3"/>
    </row>
    <row r="38" spans="1:6" ht="12.75">
      <c r="A38" s="8" t="s">
        <v>9</v>
      </c>
      <c r="B38" s="12">
        <f>ROUND(B34/B33*B35/B36,6)*100</f>
        <v>0.018799999999999997</v>
      </c>
      <c r="E38" s="3"/>
      <c r="F38" s="3"/>
    </row>
    <row r="39" spans="1:6" ht="13.5" thickBot="1">
      <c r="A39" s="18" t="s">
        <v>11</v>
      </c>
      <c r="B39" s="24">
        <f>ROUND((B37-(B38/100))*100,3)</f>
        <v>99.933</v>
      </c>
      <c r="C39" s="25"/>
      <c r="E39" s="3"/>
      <c r="F39" s="3"/>
    </row>
    <row r="40" spans="2:6" ht="12.75">
      <c r="B40" s="25"/>
      <c r="E40" s="3"/>
      <c r="F40" s="3"/>
    </row>
    <row r="41" spans="2:6" ht="12.75">
      <c r="B41" s="23"/>
      <c r="E41" s="3"/>
      <c r="F41" s="3"/>
    </row>
    <row r="42" spans="2:6" ht="12.75">
      <c r="B42" s="26"/>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76" spans="5:6" ht="12.75">
      <c r="E76" s="3"/>
      <c r="F76" s="3"/>
    </row>
    <row r="77" spans="5:6" ht="12.75">
      <c r="E77" s="3"/>
      <c r="F77" s="3"/>
    </row>
    <row r="78" spans="5:6" ht="12.75">
      <c r="E78" s="3"/>
      <c r="F78" s="3"/>
    </row>
    <row r="79" spans="5:6" ht="12.75">
      <c r="E79" s="3"/>
      <c r="F79" s="3"/>
    </row>
    <row r="80" spans="5:6" ht="12.75">
      <c r="E80" s="3"/>
      <c r="F80" s="3"/>
    </row>
    <row r="81" spans="5:6" ht="12.75">
      <c r="E81" s="3"/>
      <c r="F81" s="3"/>
    </row>
    <row r="82" spans="5:6" ht="12.75">
      <c r="E82" s="3"/>
      <c r="F82" s="3"/>
    </row>
    <row r="83" spans="5:6" ht="12.75">
      <c r="E83" s="3"/>
      <c r="F83" s="3"/>
    </row>
    <row r="84" spans="5:6" ht="12.75">
      <c r="E84" s="3"/>
      <c r="F84" s="3"/>
    </row>
    <row r="85" spans="5:6" ht="12.75">
      <c r="E85" s="3"/>
      <c r="F85" s="3"/>
    </row>
    <row r="86" spans="5:6" ht="12.75">
      <c r="E86" s="3"/>
      <c r="F86" s="3"/>
    </row>
    <row r="87" spans="5:6" ht="12.75">
      <c r="E87" s="3"/>
      <c r="F87" s="3"/>
    </row>
    <row r="88" spans="5:6" ht="12.75">
      <c r="E88" s="3"/>
      <c r="F88" s="3"/>
    </row>
    <row r="89" spans="5:6" ht="12.75">
      <c r="E89" s="3"/>
      <c r="F89" s="3"/>
    </row>
    <row r="90" spans="5:6" ht="12.75">
      <c r="E90" s="3"/>
      <c r="F90" s="3"/>
    </row>
    <row r="91" spans="5:6" ht="12.75">
      <c r="E91" s="3"/>
      <c r="F91" s="3"/>
    </row>
    <row r="92" spans="5:6" ht="12.75">
      <c r="E92" s="3"/>
      <c r="F92" s="3"/>
    </row>
    <row r="93" spans="5:6" ht="12.75">
      <c r="E93" s="3"/>
      <c r="F93" s="3"/>
    </row>
    <row r="94" spans="5:6" ht="12.75">
      <c r="E94" s="3"/>
      <c r="F94" s="3"/>
    </row>
    <row r="95" spans="5:6" ht="12.75">
      <c r="E95" s="3"/>
      <c r="F95" s="3"/>
    </row>
    <row r="96" spans="5:6" ht="12.75">
      <c r="E96" s="3"/>
      <c r="F96" s="3"/>
    </row>
    <row r="97" spans="5:6" ht="12.75">
      <c r="E97" s="3"/>
      <c r="F97" s="3"/>
    </row>
    <row r="98" spans="5:6" ht="12.75">
      <c r="E98" s="3"/>
      <c r="F98" s="3"/>
    </row>
    <row r="99" spans="5:6" ht="12.75">
      <c r="E99" s="3"/>
      <c r="F99" s="3"/>
    </row>
    <row r="100" spans="5:6" ht="12.75">
      <c r="E100" s="3"/>
      <c r="F100" s="3"/>
    </row>
    <row r="101" spans="5:6" ht="12.75">
      <c r="E101" s="3"/>
      <c r="F101" s="3"/>
    </row>
    <row r="102" spans="5:6" ht="12.75">
      <c r="E102" s="3"/>
      <c r="F102" s="3"/>
    </row>
    <row r="103" spans="5:6" ht="12.75">
      <c r="E103" s="3"/>
      <c r="F103" s="3"/>
    </row>
    <row r="104" spans="5:6" ht="12.75">
      <c r="E104" s="3"/>
      <c r="F104" s="3"/>
    </row>
    <row r="105" spans="5:6" ht="12.75">
      <c r="E105" s="3"/>
      <c r="F105" s="3"/>
    </row>
    <row r="106" spans="5:6" ht="12.75">
      <c r="E106" s="3"/>
      <c r="F106" s="3"/>
    </row>
    <row r="107" spans="5:6" ht="12.75">
      <c r="E107" s="3"/>
      <c r="F107" s="3"/>
    </row>
    <row r="108" spans="5:6" ht="12.75">
      <c r="E108" s="3"/>
      <c r="F108" s="3"/>
    </row>
    <row r="109" spans="5:6" ht="12.75">
      <c r="E109" s="3"/>
      <c r="F109" s="3"/>
    </row>
    <row r="110" spans="5:6" ht="12.75">
      <c r="E110" s="3"/>
      <c r="F110" s="3"/>
    </row>
    <row r="111" spans="5:6" ht="12.75">
      <c r="E111" s="3"/>
      <c r="F111" s="3"/>
    </row>
    <row r="112" spans="5:6" ht="12.75">
      <c r="E112" s="3"/>
      <c r="F112" s="3"/>
    </row>
    <row r="113" spans="5:6" ht="12.75">
      <c r="E113" s="3"/>
      <c r="F113" s="3"/>
    </row>
    <row r="114" spans="5:6" ht="12.75">
      <c r="E114" s="3"/>
      <c r="F114" s="3"/>
    </row>
    <row r="115" spans="5:6" ht="12.75">
      <c r="E115" s="3"/>
      <c r="F115" s="3"/>
    </row>
    <row r="116" spans="5:6" ht="12.75">
      <c r="E116" s="3"/>
      <c r="F116" s="3"/>
    </row>
    <row r="117" spans="5:6" ht="12.75">
      <c r="E117" s="3"/>
      <c r="F117" s="3"/>
    </row>
    <row r="118" spans="5:6" ht="12.75">
      <c r="E118" s="3"/>
      <c r="F118" s="3"/>
    </row>
    <row r="119" spans="5:6" ht="12.75">
      <c r="E119" s="3"/>
      <c r="F119" s="3"/>
    </row>
    <row r="120" spans="5:6" ht="12.75">
      <c r="E120" s="3"/>
      <c r="F120" s="3"/>
    </row>
    <row r="121" spans="5:6" ht="12.75">
      <c r="E121" s="3"/>
      <c r="F121" s="3"/>
    </row>
    <row r="122" spans="5:6" ht="12.75">
      <c r="E122" s="3"/>
      <c r="F122" s="3"/>
    </row>
    <row r="123" spans="5:6" ht="12.75">
      <c r="E123" s="3"/>
      <c r="F123" s="3"/>
    </row>
    <row r="124" spans="5:6" ht="12.75">
      <c r="E124" s="3"/>
      <c r="F124" s="3"/>
    </row>
    <row r="125" spans="5:6" ht="12.75">
      <c r="E125" s="3"/>
      <c r="F125" s="3"/>
    </row>
    <row r="126" spans="5:6" ht="12.75">
      <c r="E126" s="3"/>
      <c r="F126" s="3"/>
    </row>
    <row r="127" spans="5:6" ht="12.75">
      <c r="E127" s="3"/>
      <c r="F127" s="3"/>
    </row>
    <row r="128" spans="5:6" ht="12.75">
      <c r="E128" s="3"/>
      <c r="F128" s="3"/>
    </row>
    <row r="129" spans="5:6" ht="12.75">
      <c r="E129" s="3"/>
      <c r="F129" s="3"/>
    </row>
    <row r="130" spans="5:6" ht="12.75">
      <c r="E130" s="3"/>
      <c r="F130" s="3"/>
    </row>
    <row r="131" spans="5:6" ht="12.75">
      <c r="E131" s="3"/>
      <c r="F131" s="3"/>
    </row>
    <row r="132" spans="5:6" ht="12.75">
      <c r="E132" s="3"/>
      <c r="F132" s="3"/>
    </row>
    <row r="133" spans="5:6" ht="12.75">
      <c r="E133" s="3"/>
      <c r="F133" s="3"/>
    </row>
    <row r="134" spans="5:6" ht="12.75">
      <c r="E134" s="3"/>
      <c r="F134" s="3"/>
    </row>
    <row r="135" spans="5:6" ht="12.75">
      <c r="E135" s="3"/>
      <c r="F135" s="3"/>
    </row>
    <row r="136" spans="5:6" ht="12.75">
      <c r="E136" s="3"/>
      <c r="F136" s="3"/>
    </row>
    <row r="137" spans="5:6" ht="12.75">
      <c r="E137" s="3"/>
      <c r="F137" s="3"/>
    </row>
    <row r="138" spans="5:6" ht="12.75">
      <c r="E138" s="3"/>
      <c r="F138" s="3"/>
    </row>
    <row r="139" spans="5:6" ht="12.75">
      <c r="E139" s="3"/>
      <c r="F139" s="3"/>
    </row>
    <row r="140" spans="5:6" ht="12.75">
      <c r="E140" s="3"/>
      <c r="F140" s="3"/>
    </row>
    <row r="141" spans="5:6" ht="12.75">
      <c r="E141" s="3"/>
      <c r="F141" s="3"/>
    </row>
    <row r="142" spans="5:6" ht="12.75">
      <c r="E142" s="3"/>
      <c r="F142" s="3"/>
    </row>
    <row r="143" spans="5:6" ht="12.75">
      <c r="E143" s="3"/>
      <c r="F143" s="3"/>
    </row>
    <row r="144" spans="5:6" ht="12.75">
      <c r="E144" s="3"/>
      <c r="F144" s="3"/>
    </row>
    <row r="145" spans="5:6" ht="12.75">
      <c r="E145" s="3"/>
      <c r="F145" s="3"/>
    </row>
    <row r="146" spans="5:6" ht="12.75">
      <c r="E146" s="3"/>
      <c r="F146" s="3"/>
    </row>
    <row r="147" spans="5:6" ht="12.75">
      <c r="E147" s="3"/>
      <c r="F147" s="3"/>
    </row>
    <row r="148" spans="5:6" ht="12.75">
      <c r="E148" s="3"/>
      <c r="F148" s="3"/>
    </row>
    <row r="149" spans="5:6" ht="12.75">
      <c r="E149" s="3"/>
      <c r="F149" s="3"/>
    </row>
    <row r="150" spans="5:6" ht="12.75">
      <c r="E150" s="3"/>
      <c r="F150" s="3"/>
    </row>
    <row r="151" spans="5:6" ht="12.75">
      <c r="E151" s="3"/>
      <c r="F151" s="3"/>
    </row>
    <row r="152" spans="5:6" ht="12.75">
      <c r="E152" s="3"/>
      <c r="F152" s="3"/>
    </row>
    <row r="153" spans="5:6" ht="12.75">
      <c r="E153" s="3"/>
      <c r="F153" s="3"/>
    </row>
    <row r="154" spans="5:6" ht="12.75">
      <c r="E154" s="3"/>
      <c r="F154" s="3"/>
    </row>
    <row r="155" spans="5:6" ht="12.75">
      <c r="E155" s="3"/>
      <c r="F155" s="3"/>
    </row>
    <row r="156" spans="5:6" ht="12.75">
      <c r="E156" s="3"/>
      <c r="F156" s="3"/>
    </row>
    <row r="157" spans="5:6" ht="12.75">
      <c r="E157" s="3"/>
      <c r="F157" s="3"/>
    </row>
    <row r="158" spans="5:6" ht="12.75">
      <c r="E158" s="3"/>
      <c r="F158" s="3"/>
    </row>
    <row r="159" spans="5:6" ht="12.75">
      <c r="E159" s="3"/>
      <c r="F159" s="3"/>
    </row>
    <row r="160" spans="5:6" ht="12.75">
      <c r="E160" s="3"/>
      <c r="F160" s="3"/>
    </row>
    <row r="161" spans="5:6" ht="12.75">
      <c r="E161" s="3"/>
      <c r="F161" s="3"/>
    </row>
    <row r="162" spans="5:6" ht="12.75">
      <c r="E162" s="3"/>
      <c r="F162" s="3"/>
    </row>
    <row r="163" spans="5:6" ht="12.75">
      <c r="E163" s="3"/>
      <c r="F163" s="3"/>
    </row>
    <row r="164" spans="5:6" ht="12.75">
      <c r="E164" s="3"/>
      <c r="F164" s="3"/>
    </row>
    <row r="165" spans="5:6" ht="12.75">
      <c r="E165" s="3"/>
      <c r="F165" s="3"/>
    </row>
    <row r="166" spans="5:6" ht="12.75">
      <c r="E166" s="3"/>
      <c r="F166" s="3"/>
    </row>
    <row r="167" spans="5:6" ht="12.75">
      <c r="E167" s="3"/>
      <c r="F167" s="3"/>
    </row>
    <row r="168" spans="5:6" ht="12.75">
      <c r="E168" s="3"/>
      <c r="F168" s="3"/>
    </row>
    <row r="169" spans="5:6" ht="12.75">
      <c r="E169" s="3"/>
      <c r="F169" s="3"/>
    </row>
    <row r="170" spans="5:6" ht="12.75">
      <c r="E170" s="3"/>
      <c r="F170" s="3"/>
    </row>
    <row r="171" spans="5:6" ht="12.75">
      <c r="E171" s="3"/>
      <c r="F171" s="3"/>
    </row>
    <row r="172" spans="5:6" ht="12.75">
      <c r="E172" s="3"/>
      <c r="F172" s="3"/>
    </row>
    <row r="173" spans="5:6" ht="12.75">
      <c r="E173" s="3"/>
      <c r="F173" s="3"/>
    </row>
    <row r="174" spans="5:6" ht="12.75">
      <c r="E174" s="3"/>
      <c r="F174" s="3"/>
    </row>
    <row r="175" spans="5:6" ht="12.75">
      <c r="E175" s="3"/>
      <c r="F175" s="3"/>
    </row>
    <row r="176" spans="5:6" ht="12.75">
      <c r="E176" s="3"/>
      <c r="F176" s="3"/>
    </row>
    <row r="177" spans="5:6" ht="12.75">
      <c r="E177" s="3"/>
      <c r="F177" s="3"/>
    </row>
    <row r="178" spans="5:6" ht="12.75">
      <c r="E178" s="3"/>
      <c r="F178" s="3"/>
    </row>
    <row r="179" spans="5:6" ht="12.75">
      <c r="E179" s="3"/>
      <c r="F179" s="3"/>
    </row>
    <row r="180" spans="5:6" ht="12.75">
      <c r="E180" s="3"/>
      <c r="F180" s="3"/>
    </row>
    <row r="181" spans="5:6" ht="12.75">
      <c r="E181" s="3"/>
      <c r="F181" s="3"/>
    </row>
    <row r="182" spans="5:6" ht="12.75">
      <c r="E182" s="3"/>
      <c r="F182" s="3"/>
    </row>
    <row r="183" spans="5:6" ht="12.75">
      <c r="E183" s="3"/>
      <c r="F183" s="3"/>
    </row>
    <row r="184" spans="5:6" ht="12.75">
      <c r="E184" s="3"/>
      <c r="F184" s="3"/>
    </row>
    <row r="185" spans="5:6" ht="12.75">
      <c r="E185" s="3"/>
      <c r="F185" s="3"/>
    </row>
    <row r="186" spans="5:6" ht="12.75">
      <c r="E186" s="3"/>
      <c r="F186" s="3"/>
    </row>
    <row r="187" spans="5:6" ht="12.75">
      <c r="E187" s="3"/>
      <c r="F187" s="3"/>
    </row>
    <row r="188" spans="5:6" ht="12.75">
      <c r="E188" s="3"/>
      <c r="F188" s="3"/>
    </row>
    <row r="189" spans="5:6" ht="12.75">
      <c r="E189" s="3"/>
      <c r="F189" s="3"/>
    </row>
    <row r="190" spans="5:6" ht="12.75">
      <c r="E190" s="3"/>
      <c r="F190" s="3"/>
    </row>
    <row r="191" spans="5:6" ht="12.75">
      <c r="E191" s="3"/>
      <c r="F191" s="3"/>
    </row>
    <row r="192" spans="5:6" ht="12.75">
      <c r="E192" s="3"/>
      <c r="F192" s="3"/>
    </row>
    <row r="193" spans="5:6" ht="12.75">
      <c r="E193" s="3"/>
      <c r="F193" s="3"/>
    </row>
    <row r="194" spans="5:6" ht="12.75">
      <c r="E194" s="3"/>
      <c r="F194" s="3"/>
    </row>
    <row r="195" spans="5:6" ht="12.75">
      <c r="E195" s="3"/>
      <c r="F195" s="3"/>
    </row>
    <row r="196" spans="5:6" ht="12.75">
      <c r="E196" s="3"/>
      <c r="F196" s="3"/>
    </row>
    <row r="197" spans="5:6" ht="12.75">
      <c r="E197" s="3"/>
      <c r="F197" s="3"/>
    </row>
    <row r="198" spans="5:6" ht="12.75">
      <c r="E198" s="3"/>
      <c r="F198" s="3"/>
    </row>
    <row r="199" spans="5:6" ht="12.75">
      <c r="E199" s="3"/>
      <c r="F199" s="3"/>
    </row>
    <row r="200" spans="5:6" ht="12.75">
      <c r="E200" s="3"/>
      <c r="F200" s="3"/>
    </row>
    <row r="201" spans="5:6" ht="12.75">
      <c r="E201" s="3"/>
      <c r="F201" s="3"/>
    </row>
    <row r="202" spans="5:6" ht="12.75">
      <c r="E202" s="3"/>
      <c r="F202" s="3"/>
    </row>
    <row r="203" spans="5:6" ht="12.75">
      <c r="E203" s="3"/>
      <c r="F203" s="3"/>
    </row>
    <row r="204" spans="5:6" ht="12.75">
      <c r="E204" s="3"/>
      <c r="F204" s="3"/>
    </row>
    <row r="205" spans="5:6" ht="12.75">
      <c r="E205" s="3"/>
      <c r="F205" s="3"/>
    </row>
    <row r="206" spans="5:6" ht="12.75">
      <c r="E206" s="3"/>
      <c r="F206" s="3"/>
    </row>
    <row r="207" spans="5:6" ht="12.75">
      <c r="E207" s="3"/>
      <c r="F207" s="3"/>
    </row>
    <row r="208" spans="5:6" ht="12.75">
      <c r="E208" s="3"/>
      <c r="F208" s="3"/>
    </row>
    <row r="209" spans="5:6" ht="12.75">
      <c r="E209" s="3"/>
      <c r="F209" s="3"/>
    </row>
    <row r="210" spans="5:6" ht="12.75">
      <c r="E210" s="3"/>
      <c r="F210" s="3"/>
    </row>
    <row r="211" spans="5:6" ht="12.75">
      <c r="E211" s="3"/>
      <c r="F211" s="3"/>
    </row>
    <row r="212" spans="5:6" ht="12.75">
      <c r="E212" s="3"/>
      <c r="F212" s="3"/>
    </row>
    <row r="213" spans="5:6" ht="12.75">
      <c r="E213" s="3"/>
      <c r="F213" s="3"/>
    </row>
    <row r="214" spans="5:6" ht="12.75">
      <c r="E214" s="3"/>
      <c r="F214" s="3"/>
    </row>
    <row r="215" spans="5:6" ht="12.75">
      <c r="E215" s="3"/>
      <c r="F215" s="3"/>
    </row>
    <row r="216" spans="5:6" ht="12.75">
      <c r="E216" s="3"/>
      <c r="F216" s="3"/>
    </row>
    <row r="217" spans="5:6" ht="12.75">
      <c r="E217" s="3"/>
      <c r="F217" s="3"/>
    </row>
    <row r="218" spans="5:6" ht="12.75">
      <c r="E218" s="3"/>
      <c r="F218" s="3"/>
    </row>
    <row r="219" spans="5:6" ht="12.75">
      <c r="E219" s="3"/>
      <c r="F219" s="3"/>
    </row>
    <row r="220" spans="5:6" ht="12.75">
      <c r="E220" s="3"/>
      <c r="F220" s="3"/>
    </row>
    <row r="221" spans="5:6" ht="12.75">
      <c r="E221" s="3"/>
      <c r="F221" s="3"/>
    </row>
    <row r="222" spans="5:6" ht="12.75">
      <c r="E222" s="3"/>
      <c r="F222" s="3"/>
    </row>
    <row r="223" spans="5:6" ht="12.75">
      <c r="E223" s="3"/>
      <c r="F223" s="3"/>
    </row>
    <row r="224" spans="5:6" ht="12.75">
      <c r="E224" s="3"/>
      <c r="F224" s="3"/>
    </row>
    <row r="225" spans="5:6" ht="12.75">
      <c r="E225" s="3"/>
      <c r="F225" s="3"/>
    </row>
    <row r="226" spans="5:6" ht="12.75">
      <c r="E226" s="3"/>
      <c r="F226" s="3"/>
    </row>
    <row r="227" spans="5:6" ht="12.75">
      <c r="E227" s="3"/>
      <c r="F227" s="3"/>
    </row>
    <row r="228" spans="5:6" ht="12.75">
      <c r="E228" s="3"/>
      <c r="F228" s="3"/>
    </row>
    <row r="229" spans="5:6" ht="12.75">
      <c r="E229" s="3"/>
      <c r="F229" s="3"/>
    </row>
    <row r="230" spans="5:6" ht="12.75">
      <c r="E230" s="3"/>
      <c r="F230" s="3"/>
    </row>
    <row r="231" spans="5:6" ht="12.75">
      <c r="E231" s="3"/>
      <c r="F231" s="3"/>
    </row>
    <row r="232" spans="5:6" ht="12.75">
      <c r="E232" s="3"/>
      <c r="F232" s="3"/>
    </row>
    <row r="233" spans="5:6" ht="12.75">
      <c r="E233" s="3"/>
      <c r="F233" s="3"/>
    </row>
    <row r="234" spans="5:6" ht="12.75">
      <c r="E234" s="3"/>
      <c r="F234" s="3"/>
    </row>
    <row r="235" spans="5:6" ht="12.75">
      <c r="E235" s="3"/>
      <c r="F235" s="3"/>
    </row>
    <row r="236" spans="5:6" ht="12.75">
      <c r="E236" s="3"/>
      <c r="F236" s="3"/>
    </row>
    <row r="237" spans="5:6" ht="12.75">
      <c r="E237" s="3"/>
      <c r="F237" s="3"/>
    </row>
    <row r="238" spans="5:6" ht="12.75">
      <c r="E238" s="3"/>
      <c r="F238" s="3"/>
    </row>
    <row r="239" spans="5:6" ht="12.75">
      <c r="E239" s="3"/>
      <c r="F239" s="3"/>
    </row>
    <row r="240" spans="5:6" ht="12.75">
      <c r="E240" s="3"/>
      <c r="F240" s="3"/>
    </row>
    <row r="65536" ht="12.75">
      <c r="E65536" s="3"/>
    </row>
  </sheetData>
  <sheetProtection/>
  <mergeCells count="2">
    <mergeCell ref="A9:B9"/>
    <mergeCell ref="A27:B27"/>
  </mergeCells>
  <printOptions/>
  <pageMargins left="0.75" right="0.75" top="1" bottom="1" header="0" footer="0"/>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Hoja2"/>
  <dimension ref="A1:O183"/>
  <sheetViews>
    <sheetView zoomScalePageLayoutView="0" workbookViewId="0" topLeftCell="A16">
      <selection activeCell="B33" sqref="B33"/>
    </sheetView>
  </sheetViews>
  <sheetFormatPr defaultColWidth="0" defaultRowHeight="12.75"/>
  <cols>
    <col min="1" max="1" width="10.8515625" style="88" bestFit="1" customWidth="1"/>
    <col min="2" max="2" width="10.00390625" style="66" customWidth="1"/>
    <col min="3" max="3" width="15.8515625" style="92" customWidth="1"/>
    <col min="4" max="4" width="14.28125" style="92" hidden="1" customWidth="1"/>
    <col min="5" max="5" width="15.57421875" style="66" hidden="1" customWidth="1"/>
    <col min="6" max="6" width="17.8515625" style="66" hidden="1" customWidth="1"/>
    <col min="7" max="7" width="13.8515625" style="66" hidden="1" customWidth="1"/>
    <col min="8" max="8" width="12.57421875" style="66" hidden="1" customWidth="1"/>
    <col min="9" max="9" width="10.140625" style="88" hidden="1" customWidth="1"/>
    <col min="10" max="10" width="12.140625" style="88" hidden="1" customWidth="1"/>
    <col min="11" max="11" width="14.57421875" style="88" hidden="1" customWidth="1"/>
    <col min="12" max="12" width="17.421875" style="66" bestFit="1" customWidth="1"/>
    <col min="13" max="13" width="18.421875" style="66" bestFit="1" customWidth="1"/>
    <col min="14" max="14" width="19.140625" style="66" bestFit="1" customWidth="1"/>
    <col min="15" max="15" width="18.421875" style="66" bestFit="1" customWidth="1"/>
    <col min="16" max="16384" width="0" style="66" hidden="1" customWidth="1"/>
  </cols>
  <sheetData>
    <row r="1" spans="1:15" s="103" customFormat="1" ht="26.25" thickBot="1">
      <c r="A1" s="195" t="s">
        <v>78</v>
      </c>
      <c r="B1" s="196" t="s">
        <v>79</v>
      </c>
      <c r="C1" s="197" t="s">
        <v>80</v>
      </c>
      <c r="D1" s="197" t="s">
        <v>32</v>
      </c>
      <c r="E1" s="196" t="s">
        <v>33</v>
      </c>
      <c r="F1" s="196" t="s">
        <v>34</v>
      </c>
      <c r="G1" s="196" t="s">
        <v>35</v>
      </c>
      <c r="H1" s="198" t="s">
        <v>10</v>
      </c>
      <c r="I1" s="199" t="s">
        <v>18</v>
      </c>
      <c r="J1" s="200" t="s">
        <v>19</v>
      </c>
      <c r="K1" s="201" t="s">
        <v>22</v>
      </c>
      <c r="L1" s="195" t="s">
        <v>81</v>
      </c>
      <c r="M1" s="197" t="s">
        <v>82</v>
      </c>
      <c r="N1" s="197" t="s">
        <v>83</v>
      </c>
      <c r="O1" s="202" t="s">
        <v>84</v>
      </c>
    </row>
    <row r="2" spans="1:15" s="104" customFormat="1" ht="12.75">
      <c r="A2" s="107">
        <v>42264</v>
      </c>
      <c r="B2" s="108">
        <f>IF(DIAS365('CALCULADORA TIL L-1'!$E$6,A2)&lt;0,0,DIAS365('CALCULADORA TIL L-1'!$E$6,A2))</f>
        <v>0</v>
      </c>
      <c r="C2" s="41">
        <v>0</v>
      </c>
      <c r="D2" s="109">
        <f>+'CALCULADORA TIL L-1'!F15/Flujos!C183</f>
        <v>100</v>
      </c>
      <c r="E2" s="110">
        <v>0</v>
      </c>
      <c r="F2" s="110">
        <v>0</v>
      </c>
      <c r="G2" s="110">
        <f>F2+E2</f>
        <v>0</v>
      </c>
      <c r="H2" s="111">
        <f>IF($B2&lt;0,0,G2/POWER(1+'CALCULADORA TIL L-1'!$F$11,Flujos!$B2/365))</f>
        <v>0</v>
      </c>
      <c r="I2" s="112">
        <f>+A2</f>
        <v>42264</v>
      </c>
      <c r="J2" s="7">
        <v>0</v>
      </c>
      <c r="K2" s="113">
        <v>0</v>
      </c>
      <c r="L2" s="48">
        <f>+Características!B18/Flujos!C183</f>
        <v>49885487862.611374</v>
      </c>
      <c r="M2" s="114">
        <v>0</v>
      </c>
      <c r="N2" s="114">
        <v>0</v>
      </c>
      <c r="O2" s="115">
        <f>+N2+M2</f>
        <v>0</v>
      </c>
    </row>
    <row r="3" spans="1:15" s="104" customFormat="1" ht="12.75">
      <c r="A3" s="107">
        <f aca="true" t="shared" si="0" ref="A3:A66">_XLL.FECHA.MES(A2,1)</f>
        <v>42294</v>
      </c>
      <c r="B3" s="108">
        <f>IF(DIAS365('CALCULADORA TIL L-1'!$E$6,A3)&lt;0,0,DIAS365('CALCULADORA TIL L-1'!$E$6,A3))</f>
        <v>0</v>
      </c>
      <c r="C3" s="41">
        <f>+HLOOKUP('CALCULADORA TIL L-1'!$E$4,Tablas!$B$1:$B$181,Flujos!J3+1,FALSE)</f>
        <v>0.01</v>
      </c>
      <c r="D3" s="109">
        <f>+ROUND(D2-E3,6)</f>
        <v>99</v>
      </c>
      <c r="E3" s="110">
        <f>ROUND(C3*$D$2,6)</f>
        <v>1</v>
      </c>
      <c r="F3" s="110">
        <f>ROUND(D2*ROUND(((1+'CALCULADORA TIL L-1'!$C$14)^(1/12)-1),6),6)</f>
        <v>0.5654</v>
      </c>
      <c r="G3" s="110">
        <f>F3+E3</f>
        <v>1.5654</v>
      </c>
      <c r="H3" s="111">
        <f>IF($B3=0,0,G3/POWER(1+'CALCULADORA TIL L-1'!$F$11,Flujos!$B3/365))</f>
        <v>0</v>
      </c>
      <c r="I3" s="112">
        <f aca="true" t="shared" si="1" ref="I3:I66">+A3</f>
        <v>42294</v>
      </c>
      <c r="J3" s="7">
        <v>1</v>
      </c>
      <c r="K3" s="113">
        <f>+DIAS365($A$2,A3)</f>
        <v>30</v>
      </c>
      <c r="L3" s="48">
        <f>ROUND(L2-M3,8)</f>
        <v>49386632983.9853</v>
      </c>
      <c r="M3" s="114">
        <f>+$L$2*C3</f>
        <v>498854878.6261138</v>
      </c>
      <c r="N3" s="114">
        <f>+L2*$F$3%</f>
        <v>282052548.37520474</v>
      </c>
      <c r="O3" s="115">
        <f>+N3+M3</f>
        <v>780907427.0013185</v>
      </c>
    </row>
    <row r="4" spans="1:15" s="51" customFormat="1" ht="12.75">
      <c r="A4" s="39">
        <f t="shared" si="0"/>
        <v>42325</v>
      </c>
      <c r="B4" s="40">
        <f>IF(DIAS365('CALCULADORA TIL L-1'!$E$6,A4)&lt;0,0,DIAS365('CALCULADORA TIL L-1'!$E$6,A4))</f>
        <v>0</v>
      </c>
      <c r="C4" s="41">
        <f>+HLOOKUP('CALCULADORA TIL L-1'!$E$4,Tablas!$B$1:$B$181,Flujos!J4+1,FALSE)</f>
        <v>0.01</v>
      </c>
      <c r="D4" s="42">
        <f aca="true" t="shared" si="2" ref="D4:D67">+ROUND(D3-E4,6)</f>
        <v>98</v>
      </c>
      <c r="E4" s="43">
        <f aca="true" t="shared" si="3" ref="E4:E67">ROUND(C4*$D$2,6)</f>
        <v>1</v>
      </c>
      <c r="F4" s="43">
        <f>ROUND(D3*ROUND(((1+'CALCULADORA TIL L-1'!$C$14)^(1/12)-1),6),6)</f>
        <v>0.559746</v>
      </c>
      <c r="G4" s="43">
        <f aca="true" t="shared" si="4" ref="G4:G67">F4+E4</f>
        <v>1.559746</v>
      </c>
      <c r="H4" s="44">
        <f>IF($B4=0,0,G4/POWER(1+'CALCULADORA TIL L-1'!$F$11,Flujos!$B4/365))</f>
        <v>0</v>
      </c>
      <c r="I4" s="45">
        <f t="shared" si="1"/>
        <v>42325</v>
      </c>
      <c r="J4" s="46">
        <v>2</v>
      </c>
      <c r="K4" s="47">
        <f aca="true" t="shared" si="5" ref="K4:K67">+DIAS365($A$2,A4)</f>
        <v>61</v>
      </c>
      <c r="L4" s="48">
        <f aca="true" t="shared" si="6" ref="L4:L67">ROUND(L3-M4,8)</f>
        <v>48887778105.3592</v>
      </c>
      <c r="M4" s="49">
        <f aca="true" t="shared" si="7" ref="M4:M67">+$L$2*C4</f>
        <v>498854878.6261138</v>
      </c>
      <c r="N4" s="49">
        <f aca="true" t="shared" si="8" ref="N4:N67">+L3*$F$3%</f>
        <v>279232022.8914529</v>
      </c>
      <c r="O4" s="50">
        <f aca="true" t="shared" si="9" ref="O4:O67">+N4+M4</f>
        <v>778086901.5175667</v>
      </c>
    </row>
    <row r="5" spans="1:15" s="28" customFormat="1" ht="12.75">
      <c r="A5" s="107">
        <f t="shared" si="0"/>
        <v>42355</v>
      </c>
      <c r="B5" s="108">
        <f>IF(DIAS365('CALCULADORA TIL L-1'!$E$6,A5)&lt;0,0,DIAS365('CALCULADORA TIL L-1'!$E$6,A5))</f>
        <v>0</v>
      </c>
      <c r="C5" s="127">
        <f>+HLOOKUP('CALCULADORA TIL L-1'!$E$4,Tablas!$B$1:$B$181,Flujos!J5+1,FALSE)</f>
        <v>0.01</v>
      </c>
      <c r="D5" s="109">
        <f t="shared" si="2"/>
        <v>97</v>
      </c>
      <c r="E5" s="110">
        <f t="shared" si="3"/>
        <v>1</v>
      </c>
      <c r="F5" s="110">
        <f>ROUND(D4*ROUND(((1+'CALCULADORA TIL L-1'!$C$14)^(1/12)-1),6),6)</f>
        <v>0.554092</v>
      </c>
      <c r="G5" s="110">
        <f t="shared" si="4"/>
        <v>1.554092</v>
      </c>
      <c r="H5" s="111">
        <f>IF($B5=0,0,G5/POWER(1+'CALCULADORA TIL L-1'!$F$11,Flujos!$B5/365))</f>
        <v>0</v>
      </c>
      <c r="I5" s="112">
        <f t="shared" si="1"/>
        <v>42355</v>
      </c>
      <c r="J5" s="7">
        <v>3</v>
      </c>
      <c r="K5" s="113">
        <f t="shared" si="5"/>
        <v>91</v>
      </c>
      <c r="L5" s="128">
        <f t="shared" si="6"/>
        <v>48388923226.7331</v>
      </c>
      <c r="M5" s="114">
        <f t="shared" si="7"/>
        <v>498854878.6261138</v>
      </c>
      <c r="N5" s="114">
        <f t="shared" si="8"/>
        <v>276411497.4077009</v>
      </c>
      <c r="O5" s="115">
        <f t="shared" si="9"/>
        <v>775266376.0338147</v>
      </c>
    </row>
    <row r="6" spans="1:15" s="28" customFormat="1" ht="12.75">
      <c r="A6" s="107">
        <f t="shared" si="0"/>
        <v>42386</v>
      </c>
      <c r="B6" s="108">
        <f>IF(DIAS365('CALCULADORA TIL L-1'!$E$6,A6)&lt;0,0,DIAS365('CALCULADORA TIL L-1'!$E$6,A6))</f>
        <v>0</v>
      </c>
      <c r="C6" s="127">
        <f>+HLOOKUP('CALCULADORA TIL L-1'!$E$4,Tablas!$B$1:$B$181,Flujos!J6+1,FALSE)</f>
        <v>0.01</v>
      </c>
      <c r="D6" s="109">
        <f t="shared" si="2"/>
        <v>96</v>
      </c>
      <c r="E6" s="110">
        <f t="shared" si="3"/>
        <v>1</v>
      </c>
      <c r="F6" s="110">
        <f>ROUND(D5*ROUND(((1+'CALCULADORA TIL L-1'!$C$14)^(1/12)-1),6),6)</f>
        <v>0.548438</v>
      </c>
      <c r="G6" s="110">
        <f t="shared" si="4"/>
        <v>1.548438</v>
      </c>
      <c r="H6" s="111">
        <f>IF($B6=0,0,G6/POWER(1+'CALCULADORA TIL L-1'!$F$11,Flujos!$B6/365))</f>
        <v>0</v>
      </c>
      <c r="I6" s="112">
        <f t="shared" si="1"/>
        <v>42386</v>
      </c>
      <c r="J6" s="7">
        <v>4</v>
      </c>
      <c r="K6" s="113">
        <f t="shared" si="5"/>
        <v>122</v>
      </c>
      <c r="L6" s="128">
        <f t="shared" si="6"/>
        <v>47890068348.107</v>
      </c>
      <c r="M6" s="114">
        <f t="shared" si="7"/>
        <v>498854878.6261138</v>
      </c>
      <c r="N6" s="114">
        <f t="shared" si="8"/>
        <v>273590971.92394894</v>
      </c>
      <c r="O6" s="115">
        <f t="shared" si="9"/>
        <v>772445850.5500627</v>
      </c>
    </row>
    <row r="7" spans="1:15" s="28" customFormat="1" ht="12.75">
      <c r="A7" s="107">
        <f t="shared" si="0"/>
        <v>42417</v>
      </c>
      <c r="B7" s="108">
        <f>IF(DIAS365('CALCULADORA TIL L-1'!$E$6,A7)&lt;0,0,DIAS365('CALCULADORA TIL L-1'!$E$6,A7))</f>
        <v>0</v>
      </c>
      <c r="C7" s="127">
        <f>+HLOOKUP('CALCULADORA TIL L-1'!$E$4,Tablas!$B$1:$B$181,Flujos!J7+1,FALSE)</f>
        <v>0.01</v>
      </c>
      <c r="D7" s="109">
        <f t="shared" si="2"/>
        <v>95</v>
      </c>
      <c r="E7" s="110">
        <f t="shared" si="3"/>
        <v>1</v>
      </c>
      <c r="F7" s="110">
        <f>ROUND(D6*ROUND(((1+'CALCULADORA TIL L-1'!$C$14)^(1/12)-1),6),6)</f>
        <v>0.542784</v>
      </c>
      <c r="G7" s="110">
        <f t="shared" si="4"/>
        <v>1.5427840000000002</v>
      </c>
      <c r="H7" s="111">
        <f>IF($B7=0,0,G7/POWER(1+'CALCULADORA TIL L-1'!$F$11,Flujos!$B7/365))</f>
        <v>0</v>
      </c>
      <c r="I7" s="112">
        <f t="shared" si="1"/>
        <v>42417</v>
      </c>
      <c r="J7" s="7">
        <v>5</v>
      </c>
      <c r="K7" s="113">
        <f t="shared" si="5"/>
        <v>153</v>
      </c>
      <c r="L7" s="128">
        <f t="shared" si="6"/>
        <v>47391213469.4809</v>
      </c>
      <c r="M7" s="114">
        <f t="shared" si="7"/>
        <v>498854878.6261138</v>
      </c>
      <c r="N7" s="114">
        <f t="shared" si="8"/>
        <v>270770446.440197</v>
      </c>
      <c r="O7" s="115">
        <f t="shared" si="9"/>
        <v>769625325.0663108</v>
      </c>
    </row>
    <row r="8" spans="1:15" s="51" customFormat="1" ht="12.75">
      <c r="A8" s="39">
        <f t="shared" si="0"/>
        <v>42446</v>
      </c>
      <c r="B8" s="40">
        <f>IF(DIAS365('CALCULADORA TIL L-1'!$E$6,A8)&lt;0,0,DIAS365('CALCULADORA TIL L-1'!$E$6,A8))</f>
        <v>0</v>
      </c>
      <c r="C8" s="41">
        <f>+HLOOKUP('CALCULADORA TIL L-1'!$E$4,Tablas!$B$1:$B$181,Flujos!J8+1,FALSE)</f>
        <v>0.01</v>
      </c>
      <c r="D8" s="42">
        <f t="shared" si="2"/>
        <v>94</v>
      </c>
      <c r="E8" s="43">
        <f t="shared" si="3"/>
        <v>1</v>
      </c>
      <c r="F8" s="43">
        <f>ROUND(D7*ROUND(((1+'CALCULADORA TIL L-1'!$C$14)^(1/12)-1),6),6)</f>
        <v>0.53713</v>
      </c>
      <c r="G8" s="43">
        <f t="shared" si="4"/>
        <v>1.5371299999999999</v>
      </c>
      <c r="H8" s="44">
        <f>IF($B8=0,0,G8/POWER(1+'CALCULADORA TIL L-1'!$F$11,Flujos!$B8/365))</f>
        <v>0</v>
      </c>
      <c r="I8" s="45">
        <f t="shared" si="1"/>
        <v>42446</v>
      </c>
      <c r="J8" s="46">
        <v>6</v>
      </c>
      <c r="K8" s="47">
        <f t="shared" si="5"/>
        <v>181</v>
      </c>
      <c r="L8" s="48">
        <f t="shared" si="6"/>
        <v>46892358590.8548</v>
      </c>
      <c r="M8" s="49">
        <f t="shared" si="7"/>
        <v>498854878.6261138</v>
      </c>
      <c r="N8" s="49">
        <f t="shared" si="8"/>
        <v>267949920.95644504</v>
      </c>
      <c r="O8" s="50">
        <f t="shared" si="9"/>
        <v>766804799.5825589</v>
      </c>
    </row>
    <row r="9" spans="1:15" s="28" customFormat="1" ht="12.75">
      <c r="A9" s="107">
        <f t="shared" si="0"/>
        <v>42477</v>
      </c>
      <c r="B9" s="108">
        <f>IF(DIAS365('CALCULADORA TIL L-1'!$E$6,A9)&lt;0,0,DIAS365('CALCULADORA TIL L-1'!$E$6,A9))</f>
        <v>0</v>
      </c>
      <c r="C9" s="127">
        <f>+HLOOKUP('CALCULADORA TIL L-1'!$E$4,Tablas!$B$1:$B$181,Flujos!J9+1,FALSE)</f>
        <v>0.01</v>
      </c>
      <c r="D9" s="109">
        <f t="shared" si="2"/>
        <v>93</v>
      </c>
      <c r="E9" s="110">
        <f t="shared" si="3"/>
        <v>1</v>
      </c>
      <c r="F9" s="110">
        <f>ROUND(D8*ROUND(((1+'CALCULADORA TIL L-1'!$C$14)^(1/12)-1),6),6)</f>
        <v>0.531476</v>
      </c>
      <c r="G9" s="110">
        <f t="shared" si="4"/>
        <v>1.531476</v>
      </c>
      <c r="H9" s="111">
        <f>IF($B9=0,0,G9/POWER(1+'CALCULADORA TIL L-1'!$F$11,Flujos!$B9/365))</f>
        <v>0</v>
      </c>
      <c r="I9" s="112">
        <f t="shared" si="1"/>
        <v>42477</v>
      </c>
      <c r="J9" s="7">
        <v>7</v>
      </c>
      <c r="K9" s="113">
        <f t="shared" si="5"/>
        <v>212</v>
      </c>
      <c r="L9" s="128">
        <f t="shared" si="6"/>
        <v>46393503712.2287</v>
      </c>
      <c r="M9" s="114">
        <f t="shared" si="7"/>
        <v>498854878.6261138</v>
      </c>
      <c r="N9" s="114">
        <f t="shared" si="8"/>
        <v>265129395.47269303</v>
      </c>
      <c r="O9" s="115">
        <f t="shared" si="9"/>
        <v>763984274.0988069</v>
      </c>
    </row>
    <row r="10" spans="1:15" s="28" customFormat="1" ht="12.75">
      <c r="A10" s="107">
        <f t="shared" si="0"/>
        <v>42507</v>
      </c>
      <c r="B10" s="108">
        <f>IF(DIAS365('CALCULADORA TIL L-1'!$E$6,A10)&lt;0,0,DIAS365('CALCULADORA TIL L-1'!$E$6,A10))</f>
        <v>0</v>
      </c>
      <c r="C10" s="127">
        <f>+HLOOKUP('CALCULADORA TIL L-1'!$E$4,Tablas!$B$1:$B$181,Flujos!J10+1,FALSE)</f>
        <v>0.01</v>
      </c>
      <c r="D10" s="109">
        <f t="shared" si="2"/>
        <v>92</v>
      </c>
      <c r="E10" s="110">
        <f t="shared" si="3"/>
        <v>1</v>
      </c>
      <c r="F10" s="110">
        <f>ROUND(D9*ROUND(((1+'CALCULADORA TIL L-1'!$C$14)^(1/12)-1),6),6)</f>
        <v>0.525822</v>
      </c>
      <c r="G10" s="110">
        <f t="shared" si="4"/>
        <v>1.525822</v>
      </c>
      <c r="H10" s="111">
        <f>IF($B10=0,0,G10/POWER(1+'CALCULADORA TIL L-1'!$F$11,Flujos!$B10/365))</f>
        <v>0</v>
      </c>
      <c r="I10" s="112">
        <f t="shared" si="1"/>
        <v>42507</v>
      </c>
      <c r="J10" s="7">
        <v>8</v>
      </c>
      <c r="K10" s="113">
        <f t="shared" si="5"/>
        <v>242</v>
      </c>
      <c r="L10" s="128">
        <f t="shared" si="6"/>
        <v>45894648833.6026</v>
      </c>
      <c r="M10" s="114">
        <f t="shared" si="7"/>
        <v>498854878.6261138</v>
      </c>
      <c r="N10" s="114">
        <f t="shared" si="8"/>
        <v>262308869.98894107</v>
      </c>
      <c r="O10" s="115">
        <f t="shared" si="9"/>
        <v>761163748.6150548</v>
      </c>
    </row>
    <row r="11" spans="1:15" s="28" customFormat="1" ht="12.75">
      <c r="A11" s="107">
        <f t="shared" si="0"/>
        <v>42538</v>
      </c>
      <c r="B11" s="108">
        <f>IF(DIAS365('CALCULADORA TIL L-1'!$E$6,A11)&lt;0,0,DIAS365('CALCULADORA TIL L-1'!$E$6,A11))</f>
        <v>0</v>
      </c>
      <c r="C11" s="127">
        <f>+HLOOKUP('CALCULADORA TIL L-1'!$E$4,Tablas!$B$1:$B$181,Flujos!J11+1,FALSE)</f>
        <v>0.01</v>
      </c>
      <c r="D11" s="109">
        <f t="shared" si="2"/>
        <v>91</v>
      </c>
      <c r="E11" s="110">
        <f t="shared" si="3"/>
        <v>1</v>
      </c>
      <c r="F11" s="110">
        <f>ROUND(D10*ROUND(((1+'CALCULADORA TIL L-1'!$C$14)^(1/12)-1),6),6)</f>
        <v>0.520168</v>
      </c>
      <c r="G11" s="110">
        <f t="shared" si="4"/>
        <v>1.520168</v>
      </c>
      <c r="H11" s="111">
        <f>IF($B11=0,0,G11/POWER(1+'CALCULADORA TIL L-1'!$F$11,Flujos!$B11/365))</f>
        <v>0</v>
      </c>
      <c r="I11" s="112">
        <f t="shared" si="1"/>
        <v>42538</v>
      </c>
      <c r="J11" s="7">
        <v>9</v>
      </c>
      <c r="K11" s="113">
        <f t="shared" si="5"/>
        <v>273</v>
      </c>
      <c r="L11" s="128">
        <f t="shared" si="6"/>
        <v>45395793954.9765</v>
      </c>
      <c r="M11" s="114">
        <f t="shared" si="7"/>
        <v>498854878.6261138</v>
      </c>
      <c r="N11" s="114">
        <f t="shared" si="8"/>
        <v>259488344.50518912</v>
      </c>
      <c r="O11" s="115">
        <f t="shared" si="9"/>
        <v>758343223.1313028</v>
      </c>
    </row>
    <row r="12" spans="1:15" s="28" customFormat="1" ht="12.75">
      <c r="A12" s="107">
        <f t="shared" si="0"/>
        <v>42568</v>
      </c>
      <c r="B12" s="108">
        <f>IF(DIAS365('CALCULADORA TIL L-1'!$E$6,A12)&lt;0,0,DIAS365('CALCULADORA TIL L-1'!$E$6,A12))</f>
        <v>0</v>
      </c>
      <c r="C12" s="127">
        <f>+HLOOKUP('CALCULADORA TIL L-1'!$E$4,Tablas!$B$1:$B$181,Flujos!J12+1,FALSE)</f>
        <v>0.01</v>
      </c>
      <c r="D12" s="109">
        <f t="shared" si="2"/>
        <v>90</v>
      </c>
      <c r="E12" s="110">
        <f t="shared" si="3"/>
        <v>1</v>
      </c>
      <c r="F12" s="110">
        <f>ROUND(D11*ROUND(((1+'CALCULADORA TIL L-1'!$C$14)^(1/12)-1),6),6)</f>
        <v>0.514514</v>
      </c>
      <c r="G12" s="110">
        <f t="shared" si="4"/>
        <v>1.5145140000000001</v>
      </c>
      <c r="H12" s="111">
        <f>IF($B12=0,0,G12/POWER(1+'CALCULADORA TIL L-1'!$F$11,Flujos!$B12/365))</f>
        <v>0</v>
      </c>
      <c r="I12" s="112">
        <f t="shared" si="1"/>
        <v>42568</v>
      </c>
      <c r="J12" s="7">
        <v>10</v>
      </c>
      <c r="K12" s="113">
        <f t="shared" si="5"/>
        <v>303</v>
      </c>
      <c r="L12" s="128">
        <f t="shared" si="6"/>
        <v>44896939076.3504</v>
      </c>
      <c r="M12" s="114">
        <f t="shared" si="7"/>
        <v>498854878.6261138</v>
      </c>
      <c r="N12" s="114">
        <f t="shared" si="8"/>
        <v>256667819.02143714</v>
      </c>
      <c r="O12" s="115">
        <f t="shared" si="9"/>
        <v>755522697.647551</v>
      </c>
    </row>
    <row r="13" spans="1:15" s="28" customFormat="1" ht="12.75">
      <c r="A13" s="107">
        <f t="shared" si="0"/>
        <v>42599</v>
      </c>
      <c r="B13" s="108">
        <f>IF(DIAS365('CALCULADORA TIL L-1'!$E$6,A13)&lt;0,0,DIAS365('CALCULADORA TIL L-1'!$E$6,A13))</f>
        <v>0</v>
      </c>
      <c r="C13" s="127">
        <f>+HLOOKUP('CALCULADORA TIL L-1'!$E$4,Tablas!$B$1:$B$181,Flujos!J13+1,FALSE)</f>
        <v>0.01</v>
      </c>
      <c r="D13" s="109">
        <f t="shared" si="2"/>
        <v>89</v>
      </c>
      <c r="E13" s="110">
        <f t="shared" si="3"/>
        <v>1</v>
      </c>
      <c r="F13" s="110">
        <f>ROUND(D12*ROUND(((1+'CALCULADORA TIL L-1'!$C$14)^(1/12)-1),6),6)</f>
        <v>0.50886</v>
      </c>
      <c r="G13" s="110">
        <f t="shared" si="4"/>
        <v>1.5088599999999999</v>
      </c>
      <c r="H13" s="111">
        <f>IF($B13=0,0,G13/POWER(1+'CALCULADORA TIL L-1'!$F$11,Flujos!$B13/365))</f>
        <v>0</v>
      </c>
      <c r="I13" s="112">
        <f t="shared" si="1"/>
        <v>42599</v>
      </c>
      <c r="J13" s="7">
        <v>11</v>
      </c>
      <c r="K13" s="113">
        <f t="shared" si="5"/>
        <v>334</v>
      </c>
      <c r="L13" s="128">
        <f t="shared" si="6"/>
        <v>44398084197.7243</v>
      </c>
      <c r="M13" s="114">
        <f t="shared" si="7"/>
        <v>498854878.6261138</v>
      </c>
      <c r="N13" s="114">
        <f t="shared" si="8"/>
        <v>253847293.5376852</v>
      </c>
      <c r="O13" s="115">
        <f t="shared" si="9"/>
        <v>752702172.1637989</v>
      </c>
    </row>
    <row r="14" spans="1:15" s="28" customFormat="1" ht="12.75">
      <c r="A14" s="107">
        <f t="shared" si="0"/>
        <v>42630</v>
      </c>
      <c r="B14" s="108">
        <f>IF(DIAS365('CALCULADORA TIL L-1'!$E$6,A14)&lt;0,0,DIAS365('CALCULADORA TIL L-1'!$E$6,A14))</f>
        <v>0</v>
      </c>
      <c r="C14" s="127">
        <f>+HLOOKUP('CALCULADORA TIL L-1'!$E$4,Tablas!$B$1:$B$181,Flujos!J14+1,FALSE)</f>
        <v>0.01</v>
      </c>
      <c r="D14" s="109">
        <f t="shared" si="2"/>
        <v>88</v>
      </c>
      <c r="E14" s="110">
        <f t="shared" si="3"/>
        <v>1</v>
      </c>
      <c r="F14" s="110">
        <f>ROUND(D13*ROUND(((1+'CALCULADORA TIL L-1'!$C$14)^(1/12)-1),6),6)</f>
        <v>0.503206</v>
      </c>
      <c r="G14" s="110">
        <f t="shared" si="4"/>
        <v>1.503206</v>
      </c>
      <c r="H14" s="111">
        <f>IF($B14=0,0,G14/POWER(1+'CALCULADORA TIL L-1'!$F$11,Flujos!$B14/365))</f>
        <v>0</v>
      </c>
      <c r="I14" s="112">
        <f t="shared" si="1"/>
        <v>42630</v>
      </c>
      <c r="J14" s="7">
        <v>12</v>
      </c>
      <c r="K14" s="113">
        <f t="shared" si="5"/>
        <v>365</v>
      </c>
      <c r="L14" s="128">
        <f t="shared" si="6"/>
        <v>43899229319.0982</v>
      </c>
      <c r="M14" s="114">
        <f t="shared" si="7"/>
        <v>498854878.6261138</v>
      </c>
      <c r="N14" s="114">
        <f t="shared" si="8"/>
        <v>251026768.05393317</v>
      </c>
      <c r="O14" s="115">
        <f t="shared" si="9"/>
        <v>749881646.6800469</v>
      </c>
    </row>
    <row r="15" spans="1:15" s="28" customFormat="1" ht="12.75">
      <c r="A15" s="107">
        <f t="shared" si="0"/>
        <v>42660</v>
      </c>
      <c r="B15" s="108">
        <f>IF(DIAS365('CALCULADORA TIL L-1'!$E$6,A15)&lt;0,0,DIAS365('CALCULADORA TIL L-1'!$E$6,A15))</f>
        <v>0</v>
      </c>
      <c r="C15" s="127">
        <f>+HLOOKUP('CALCULADORA TIL L-1'!$E$4,Tablas!$B$1:$B$181,Flujos!J15+1,FALSE)</f>
        <v>0.02851985</v>
      </c>
      <c r="D15" s="109">
        <f t="shared" si="2"/>
        <v>85.148015</v>
      </c>
      <c r="E15" s="110">
        <f t="shared" si="3"/>
        <v>2.851985</v>
      </c>
      <c r="F15" s="110">
        <f>ROUND(D14*ROUND(((1+'CALCULADORA TIL L-1'!$C$14)^(1/12)-1),6),6)</f>
        <v>0.497552</v>
      </c>
      <c r="G15" s="110">
        <f t="shared" si="4"/>
        <v>3.3495369999999998</v>
      </c>
      <c r="H15" s="111">
        <f>IF($B15=0,0,G15/POWER(1+'CALCULADORA TIL L-1'!$F$11,Flujos!$B15/365))</f>
        <v>0</v>
      </c>
      <c r="I15" s="112">
        <f t="shared" si="1"/>
        <v>42660</v>
      </c>
      <c r="J15" s="7">
        <v>13</v>
      </c>
      <c r="K15" s="113">
        <f t="shared" si="5"/>
        <v>395</v>
      </c>
      <c r="L15" s="128">
        <f t="shared" si="6"/>
        <v>42476502688.0797</v>
      </c>
      <c r="M15" s="114">
        <f t="shared" si="7"/>
        <v>1422726631.018497</v>
      </c>
      <c r="N15" s="114">
        <f t="shared" si="8"/>
        <v>248206242.57018122</v>
      </c>
      <c r="O15" s="115">
        <f t="shared" si="9"/>
        <v>1670932873.5886781</v>
      </c>
    </row>
    <row r="16" spans="1:15" s="28" customFormat="1" ht="12.75">
      <c r="A16" s="107">
        <f t="shared" si="0"/>
        <v>42691</v>
      </c>
      <c r="B16" s="108">
        <f>IF(DIAS365('CALCULADORA TIL L-1'!$E$6,A16)&lt;0,0,DIAS365('CALCULADORA TIL L-1'!$E$6,A16))</f>
        <v>0</v>
      </c>
      <c r="C16" s="127">
        <f>+HLOOKUP('CALCULADORA TIL L-1'!$E$4,Tablas!$B$1:$B$181,Flujos!J16+1,FALSE)</f>
        <v>0.0648496</v>
      </c>
      <c r="D16" s="109">
        <f t="shared" si="2"/>
        <v>78.663055</v>
      </c>
      <c r="E16" s="110">
        <f t="shared" si="3"/>
        <v>6.48496</v>
      </c>
      <c r="F16" s="110">
        <f>ROUND(D15*ROUND(((1+'CALCULADORA TIL L-1'!$C$14)^(1/12)-1),6),6)</f>
        <v>0.481427</v>
      </c>
      <c r="G16" s="110">
        <f t="shared" si="4"/>
        <v>6.966387</v>
      </c>
      <c r="H16" s="111">
        <f>IF($B16=0,0,G16/POWER(1+'CALCULADORA TIL L-1'!$F$11,Flujos!$B16/365))</f>
        <v>0</v>
      </c>
      <c r="I16" s="112">
        <f t="shared" si="1"/>
        <v>42691</v>
      </c>
      <c r="J16" s="7">
        <v>14</v>
      </c>
      <c r="K16" s="113">
        <f t="shared" si="5"/>
        <v>426</v>
      </c>
      <c r="L16" s="128">
        <f t="shared" si="6"/>
        <v>39241448754.3845</v>
      </c>
      <c r="M16" s="114">
        <f t="shared" si="7"/>
        <v>3235053933.6952024</v>
      </c>
      <c r="N16" s="114">
        <f t="shared" si="8"/>
        <v>240162146.1984026</v>
      </c>
      <c r="O16" s="115">
        <f t="shared" si="9"/>
        <v>3475216079.8936048</v>
      </c>
    </row>
    <row r="17" spans="1:15" s="28" customFormat="1" ht="12.75">
      <c r="A17" s="107">
        <f t="shared" si="0"/>
        <v>42721</v>
      </c>
      <c r="B17" s="108">
        <f>IF(DIAS365('CALCULADORA TIL L-1'!$E$6,A17)&lt;0,0,DIAS365('CALCULADORA TIL L-1'!$E$6,A17))</f>
        <v>0</v>
      </c>
      <c r="C17" s="127">
        <f>+HLOOKUP('CALCULADORA TIL L-1'!$E$4,Tablas!$B$1:$B$181,Flujos!J17+1,FALSE)</f>
        <v>0.06083283</v>
      </c>
      <c r="D17" s="109">
        <f t="shared" si="2"/>
        <v>72.579772</v>
      </c>
      <c r="E17" s="110">
        <f t="shared" si="3"/>
        <v>6.083283</v>
      </c>
      <c r="F17" s="110">
        <f>ROUND(D16*ROUND(((1+'CALCULADORA TIL L-1'!$C$14)^(1/12)-1),6),6)</f>
        <v>0.444761</v>
      </c>
      <c r="G17" s="110">
        <f t="shared" si="4"/>
        <v>6.5280439999999995</v>
      </c>
      <c r="H17" s="111">
        <f>IF($B17=0,0,G17/POWER(1+'CALCULADORA TIL L-1'!$F$11,Flujos!$B17/365))</f>
        <v>0</v>
      </c>
      <c r="I17" s="112">
        <f t="shared" si="1"/>
        <v>42721</v>
      </c>
      <c r="J17" s="7">
        <v>15</v>
      </c>
      <c r="K17" s="113">
        <f t="shared" si="5"/>
        <v>456</v>
      </c>
      <c r="L17" s="128">
        <f t="shared" si="6"/>
        <v>36206773351.7712</v>
      </c>
      <c r="M17" s="114">
        <f t="shared" si="7"/>
        <v>3034675402.613301</v>
      </c>
      <c r="N17" s="114">
        <f t="shared" si="8"/>
        <v>221871151.25728998</v>
      </c>
      <c r="O17" s="115">
        <f t="shared" si="9"/>
        <v>3256546553.8705907</v>
      </c>
    </row>
    <row r="18" spans="1:15" s="28" customFormat="1" ht="12.75">
      <c r="A18" s="107">
        <f t="shared" si="0"/>
        <v>42752</v>
      </c>
      <c r="B18" s="108">
        <f>IF(DIAS365('CALCULADORA TIL L-1'!$E$6,A18)&lt;0,0,DIAS365('CALCULADORA TIL L-1'!$E$6,A18))</f>
        <v>0</v>
      </c>
      <c r="C18" s="127">
        <f>+HLOOKUP('CALCULADORA TIL L-1'!$E$4,Tablas!$B$1:$B$181,Flujos!J18+1,FALSE)</f>
        <v>0.05877374</v>
      </c>
      <c r="D18" s="109">
        <f t="shared" si="2"/>
        <v>66.702398</v>
      </c>
      <c r="E18" s="110">
        <f t="shared" si="3"/>
        <v>5.877374</v>
      </c>
      <c r="F18" s="110">
        <f>ROUND(D17*ROUND(((1+'CALCULADORA TIL L-1'!$C$14)^(1/12)-1),6),6)</f>
        <v>0.410366</v>
      </c>
      <c r="G18" s="110">
        <f t="shared" si="4"/>
        <v>6.287739999999999</v>
      </c>
      <c r="H18" s="111">
        <f>IF($B18=0,0,G18/POWER(1+'CALCULADORA TIL L-1'!$F$11,Flujos!$B18/365))</f>
        <v>0</v>
      </c>
      <c r="I18" s="112">
        <f t="shared" si="1"/>
        <v>42752</v>
      </c>
      <c r="J18" s="7">
        <v>16</v>
      </c>
      <c r="K18" s="113">
        <f t="shared" si="5"/>
        <v>487</v>
      </c>
      <c r="L18" s="128">
        <f t="shared" si="6"/>
        <v>33274816658.3609</v>
      </c>
      <c r="M18" s="114">
        <f t="shared" si="7"/>
        <v>2931956693.4102764</v>
      </c>
      <c r="N18" s="114">
        <f t="shared" si="8"/>
        <v>204713096.5309144</v>
      </c>
      <c r="O18" s="115">
        <f t="shared" si="9"/>
        <v>3136669789.9411907</v>
      </c>
    </row>
    <row r="19" spans="1:15" s="28" customFormat="1" ht="12.75">
      <c r="A19" s="107">
        <f t="shared" si="0"/>
        <v>42783</v>
      </c>
      <c r="B19" s="108">
        <f>IF(DIAS365('CALCULADORA TIL L-1'!$E$6,A19)&lt;0,0,DIAS365('CALCULADORA TIL L-1'!$E$6,A19))</f>
        <v>0</v>
      </c>
      <c r="C19" s="127">
        <f>+HLOOKUP('CALCULADORA TIL L-1'!$E$4,Tablas!$B$1:$B$181,Flujos!J19+1,FALSE)</f>
        <v>0.05443366</v>
      </c>
      <c r="D19" s="109">
        <f t="shared" si="2"/>
        <v>61.259032</v>
      </c>
      <c r="E19" s="110">
        <f t="shared" si="3"/>
        <v>5.443366</v>
      </c>
      <c r="F19" s="110">
        <f>ROUND(D18*ROUND(((1+'CALCULADORA TIL L-1'!$C$14)^(1/12)-1),6),6)</f>
        <v>0.377135</v>
      </c>
      <c r="G19" s="110">
        <f t="shared" si="4"/>
        <v>5.820501</v>
      </c>
      <c r="H19" s="111">
        <f>IF($B19=0,0,G19/POWER(1+'CALCULADORA TIL L-1'!$F$11,Flujos!$B19/365))</f>
        <v>0</v>
      </c>
      <c r="I19" s="112">
        <f t="shared" si="1"/>
        <v>42783</v>
      </c>
      <c r="J19" s="7">
        <v>17</v>
      </c>
      <c r="K19" s="113">
        <f t="shared" si="5"/>
        <v>518</v>
      </c>
      <c r="L19" s="128">
        <f t="shared" si="6"/>
        <v>30559366973.1134</v>
      </c>
      <c r="M19" s="114">
        <f t="shared" si="7"/>
        <v>2715449685.2475142</v>
      </c>
      <c r="N19" s="114">
        <f t="shared" si="8"/>
        <v>188135813.38637254</v>
      </c>
      <c r="O19" s="115">
        <f t="shared" si="9"/>
        <v>2903585498.633887</v>
      </c>
    </row>
    <row r="20" spans="1:15" s="28" customFormat="1" ht="12.75">
      <c r="A20" s="107">
        <f t="shared" si="0"/>
        <v>42811</v>
      </c>
      <c r="B20" s="108">
        <f>IF(DIAS365('CALCULADORA TIL L-1'!$E$6,A20)&lt;0,0,DIAS365('CALCULADORA TIL L-1'!$E$6,A20))</f>
        <v>0</v>
      </c>
      <c r="C20" s="127">
        <f>+HLOOKUP('CALCULADORA TIL L-1'!$E$4,Tablas!$B$1:$B$181,Flujos!J20+1,FALSE)</f>
        <v>0.04730645</v>
      </c>
      <c r="D20" s="109">
        <f t="shared" si="2"/>
        <v>56.528387</v>
      </c>
      <c r="E20" s="110">
        <f t="shared" si="3"/>
        <v>4.730645</v>
      </c>
      <c r="F20" s="110">
        <f>ROUND(D19*ROUND(((1+'CALCULADORA TIL L-1'!$C$14)^(1/12)-1),6),6)</f>
        <v>0.346359</v>
      </c>
      <c r="G20" s="110">
        <f t="shared" si="4"/>
        <v>5.077004</v>
      </c>
      <c r="H20" s="111">
        <f>IF($B20=0,0,G20/POWER(1+'CALCULADORA TIL L-1'!$F$11,Flujos!$B20/365))</f>
        <v>0</v>
      </c>
      <c r="I20" s="112">
        <f t="shared" si="1"/>
        <v>42811</v>
      </c>
      <c r="J20" s="7">
        <v>18</v>
      </c>
      <c r="K20" s="113">
        <f t="shared" si="5"/>
        <v>546</v>
      </c>
      <c r="L20" s="128">
        <f t="shared" si="6"/>
        <v>28199461635.8152</v>
      </c>
      <c r="M20" s="114">
        <f t="shared" si="7"/>
        <v>2359905337.2982316</v>
      </c>
      <c r="N20" s="114">
        <f t="shared" si="8"/>
        <v>172782660.86598316</v>
      </c>
      <c r="O20" s="115">
        <f t="shared" si="9"/>
        <v>2532687998.1642146</v>
      </c>
    </row>
    <row r="21" spans="1:15" ht="12.75">
      <c r="A21" s="107">
        <f t="shared" si="0"/>
        <v>42842</v>
      </c>
      <c r="B21" s="108">
        <f>IF(DIAS365('CALCULADORA TIL L-1'!$E$6,A21)&lt;0,0,DIAS365('CALCULADORA TIL L-1'!$E$6,A21))</f>
        <v>0</v>
      </c>
      <c r="C21" s="127">
        <f>+HLOOKUP('CALCULADORA TIL L-1'!$E$4,Tablas!$B$1:$B$181,Flujos!J21+1,FALSE)</f>
        <v>0.04083409</v>
      </c>
      <c r="D21" s="109">
        <f t="shared" si="2"/>
        <v>52.444978</v>
      </c>
      <c r="E21" s="110">
        <f t="shared" si="3"/>
        <v>4.083409</v>
      </c>
      <c r="F21" s="110">
        <f>ROUND(D20*ROUND(((1+'CALCULADORA TIL L-1'!$C$14)^(1/12)-1),6),6)</f>
        <v>0.319612</v>
      </c>
      <c r="G21" s="110">
        <f t="shared" si="4"/>
        <v>4.403021</v>
      </c>
      <c r="H21" s="111">
        <f>IF($B21=0,0,G21/POWER(1+'CALCULADORA TIL L-1'!$F$11,Flujos!$B21/365))</f>
        <v>0</v>
      </c>
      <c r="I21" s="112">
        <f t="shared" si="1"/>
        <v>42842</v>
      </c>
      <c r="J21" s="7">
        <v>19</v>
      </c>
      <c r="K21" s="113">
        <f t="shared" si="5"/>
        <v>577</v>
      </c>
      <c r="L21" s="128">
        <f t="shared" si="6"/>
        <v>26162433134.7394</v>
      </c>
      <c r="M21" s="114">
        <f t="shared" si="7"/>
        <v>2037028501.0757806</v>
      </c>
      <c r="N21" s="114">
        <f t="shared" si="8"/>
        <v>159439756.08889914</v>
      </c>
      <c r="O21" s="115">
        <f t="shared" si="9"/>
        <v>2196468257.1646795</v>
      </c>
    </row>
    <row r="22" spans="1:15" ht="12.75">
      <c r="A22" s="107">
        <f t="shared" si="0"/>
        <v>42872</v>
      </c>
      <c r="B22" s="108">
        <f>IF(DIAS365('CALCULADORA TIL L-1'!$E$6,A22)&lt;0,0,DIAS365('CALCULADORA TIL L-1'!$E$6,A22))</f>
        <v>0</v>
      </c>
      <c r="C22" s="127">
        <f>+HLOOKUP('CALCULADORA TIL L-1'!$E$4,Tablas!$B$1:$B$181,Flujos!J22+1,FALSE)</f>
        <v>0.05072678</v>
      </c>
      <c r="D22" s="109">
        <f t="shared" si="2"/>
        <v>47.3723</v>
      </c>
      <c r="E22" s="110">
        <f t="shared" si="3"/>
        <v>5.072678</v>
      </c>
      <c r="F22" s="110">
        <f>ROUND(D21*ROUND(((1+'CALCULADORA TIL L-1'!$C$14)^(1/12)-1),6),6)</f>
        <v>0.296524</v>
      </c>
      <c r="G22" s="110">
        <f t="shared" si="4"/>
        <v>5.369202</v>
      </c>
      <c r="H22" s="111">
        <f>IF($B22=0,0,G22/POWER(1+'CALCULADORA TIL L-1'!$F$11,Flujos!$B22/365))</f>
        <v>0</v>
      </c>
      <c r="I22" s="112">
        <f t="shared" si="1"/>
        <v>42872</v>
      </c>
      <c r="J22" s="7">
        <v>20</v>
      </c>
      <c r="K22" s="113">
        <f t="shared" si="5"/>
        <v>607</v>
      </c>
      <c r="L22" s="128">
        <f t="shared" si="6"/>
        <v>23631902966.74</v>
      </c>
      <c r="M22" s="114">
        <f t="shared" si="7"/>
        <v>2530530167.999357</v>
      </c>
      <c r="N22" s="114">
        <f t="shared" si="8"/>
        <v>147922396.94381657</v>
      </c>
      <c r="O22" s="115">
        <f t="shared" si="9"/>
        <v>2678452564.943174</v>
      </c>
    </row>
    <row r="23" spans="1:15" ht="12.75">
      <c r="A23" s="107">
        <f t="shared" si="0"/>
        <v>42903</v>
      </c>
      <c r="B23" s="108">
        <f>IF(DIAS365('CALCULADORA TIL L-1'!$E$6,A23)&lt;0,0,DIAS365('CALCULADORA TIL L-1'!$E$6,A23))</f>
        <v>0</v>
      </c>
      <c r="C23" s="127">
        <f>+HLOOKUP('CALCULADORA TIL L-1'!$E$4,Tablas!$B$1:$B$181,Flujos!J23+1,FALSE)</f>
        <v>0.04709229</v>
      </c>
      <c r="D23" s="109">
        <f t="shared" si="2"/>
        <v>42.663071</v>
      </c>
      <c r="E23" s="110">
        <f t="shared" si="3"/>
        <v>4.709229</v>
      </c>
      <c r="F23" s="110">
        <f>ROUND(D22*ROUND(((1+'CALCULADORA TIL L-1'!$C$14)^(1/12)-1),6),6)</f>
        <v>0.267843</v>
      </c>
      <c r="G23" s="110">
        <f t="shared" si="4"/>
        <v>4.977072</v>
      </c>
      <c r="H23" s="111">
        <f>IF($B23=0,0,G23/POWER(1+'CALCULADORA TIL L-1'!$F$11,Flujos!$B23/365))</f>
        <v>0</v>
      </c>
      <c r="I23" s="112">
        <f t="shared" si="1"/>
        <v>42903</v>
      </c>
      <c r="J23" s="7">
        <v>21</v>
      </c>
      <c r="K23" s="113">
        <f t="shared" si="5"/>
        <v>638</v>
      </c>
      <c r="L23" s="128">
        <f t="shared" si="6"/>
        <v>21282681105.5224</v>
      </c>
      <c r="M23" s="114">
        <f t="shared" si="7"/>
        <v>2349221861.217575</v>
      </c>
      <c r="N23" s="114">
        <f t="shared" si="8"/>
        <v>133614779.37394798</v>
      </c>
      <c r="O23" s="115">
        <f t="shared" si="9"/>
        <v>2482836640.591523</v>
      </c>
    </row>
    <row r="24" spans="1:15" ht="12.75">
      <c r="A24" s="107">
        <f t="shared" si="0"/>
        <v>42933</v>
      </c>
      <c r="B24" s="108">
        <f>IF(DIAS365('CALCULADORA TIL L-1'!$E$6,A24)&lt;0,0,DIAS365('CALCULADORA TIL L-1'!$E$6,A24))</f>
        <v>0</v>
      </c>
      <c r="C24" s="127">
        <f>+HLOOKUP('CALCULADORA TIL L-1'!$E$4,Tablas!$B$1:$B$181,Flujos!J24+1,FALSE)</f>
        <v>0.0410026</v>
      </c>
      <c r="D24" s="109">
        <f t="shared" si="2"/>
        <v>38.562811</v>
      </c>
      <c r="E24" s="110">
        <f t="shared" si="3"/>
        <v>4.10026</v>
      </c>
      <c r="F24" s="110">
        <f>ROUND(D23*ROUND(((1+'CALCULADORA TIL L-1'!$C$14)^(1/12)-1),6),6)</f>
        <v>0.241217</v>
      </c>
      <c r="G24" s="110">
        <f t="shared" si="4"/>
        <v>4.341476999999999</v>
      </c>
      <c r="H24" s="111">
        <f>IF($B24=0,0,G24/POWER(1+'CALCULADORA TIL L-1'!$F$11,Flujos!$B24/365))</f>
        <v>0</v>
      </c>
      <c r="I24" s="112">
        <f t="shared" si="1"/>
        <v>42933</v>
      </c>
      <c r="J24" s="7">
        <v>22</v>
      </c>
      <c r="K24" s="113">
        <f t="shared" si="5"/>
        <v>668</v>
      </c>
      <c r="L24" s="128">
        <f t="shared" si="6"/>
        <v>19237246400.8869</v>
      </c>
      <c r="M24" s="114">
        <f t="shared" si="7"/>
        <v>2045434704.635509</v>
      </c>
      <c r="N24" s="114">
        <f t="shared" si="8"/>
        <v>120332278.97062366</v>
      </c>
      <c r="O24" s="115">
        <f t="shared" si="9"/>
        <v>2165766983.6061325</v>
      </c>
    </row>
    <row r="25" spans="1:15" ht="12.75">
      <c r="A25" s="107">
        <f t="shared" si="0"/>
        <v>42964</v>
      </c>
      <c r="B25" s="108">
        <f>IF(DIAS365('CALCULADORA TIL L-1'!$E$6,A25)&lt;0,0,DIAS365('CALCULADORA TIL L-1'!$E$6,A25))</f>
        <v>0</v>
      </c>
      <c r="C25" s="127">
        <f>+HLOOKUP('CALCULADORA TIL L-1'!$E$4,Tablas!$B$1:$B$181,Flujos!J25+1,FALSE)</f>
        <v>0.05323807</v>
      </c>
      <c r="D25" s="109">
        <f t="shared" si="2"/>
        <v>33.239004</v>
      </c>
      <c r="E25" s="110">
        <f t="shared" si="3"/>
        <v>5.323807</v>
      </c>
      <c r="F25" s="110">
        <f>ROUND(D24*ROUND(((1+'CALCULADORA TIL L-1'!$C$14)^(1/12)-1),6),6)</f>
        <v>0.218034</v>
      </c>
      <c r="G25" s="110">
        <f t="shared" si="4"/>
        <v>5.541841000000001</v>
      </c>
      <c r="H25" s="111">
        <f>IF($B25=0,0,G25/POWER(1+'CALCULADORA TIL L-1'!$F$11,Flujos!$B25/365))</f>
        <v>0</v>
      </c>
      <c r="I25" s="112">
        <f t="shared" si="1"/>
        <v>42964</v>
      </c>
      <c r="J25" s="7">
        <v>23</v>
      </c>
      <c r="K25" s="113">
        <f t="shared" si="5"/>
        <v>699</v>
      </c>
      <c r="L25" s="128">
        <f t="shared" si="6"/>
        <v>16581439306.073</v>
      </c>
      <c r="M25" s="114">
        <f t="shared" si="7"/>
        <v>2655807094.8138547</v>
      </c>
      <c r="N25" s="114">
        <f t="shared" si="8"/>
        <v>108767391.15061454</v>
      </c>
      <c r="O25" s="115">
        <f t="shared" si="9"/>
        <v>2764574485.9644694</v>
      </c>
    </row>
    <row r="26" spans="1:15" ht="12.75">
      <c r="A26" s="107">
        <f t="shared" si="0"/>
        <v>42995</v>
      </c>
      <c r="B26" s="108">
        <f>IF(DIAS365('CALCULADORA TIL L-1'!$E$6,A26)&lt;0,0,DIAS365('CALCULADORA TIL L-1'!$E$6,A26))</f>
        <v>0</v>
      </c>
      <c r="C26" s="127">
        <f>+HLOOKUP('CALCULADORA TIL L-1'!$E$4,Tablas!$B$1:$B$181,Flujos!J26+1,FALSE)</f>
        <v>0.03366219</v>
      </c>
      <c r="D26" s="109">
        <f t="shared" si="2"/>
        <v>29.872785</v>
      </c>
      <c r="E26" s="110">
        <f t="shared" si="3"/>
        <v>3.366219</v>
      </c>
      <c r="F26" s="110">
        <f>ROUND(D25*ROUND(((1+'CALCULADORA TIL L-1'!$C$14)^(1/12)-1),6),6)</f>
        <v>0.187933</v>
      </c>
      <c r="G26" s="110">
        <f t="shared" si="4"/>
        <v>3.554152</v>
      </c>
      <c r="H26" s="111">
        <f>IF($B26=0,0,G26/POWER(1+'CALCULADORA TIL L-1'!$F$11,Flujos!$B26/365))</f>
        <v>0</v>
      </c>
      <c r="I26" s="112">
        <f t="shared" si="1"/>
        <v>42995</v>
      </c>
      <c r="J26" s="7">
        <v>24</v>
      </c>
      <c r="K26" s="113">
        <f t="shared" si="5"/>
        <v>730</v>
      </c>
      <c r="L26" s="128">
        <f t="shared" si="6"/>
        <v>14902184535.3991</v>
      </c>
      <c r="M26" s="114">
        <f t="shared" si="7"/>
        <v>1679254770.673918</v>
      </c>
      <c r="N26" s="114">
        <f t="shared" si="8"/>
        <v>93751457.83653675</v>
      </c>
      <c r="O26" s="115">
        <f t="shared" si="9"/>
        <v>1773006228.5104547</v>
      </c>
    </row>
    <row r="27" spans="1:15" ht="12.75">
      <c r="A27" s="107">
        <f t="shared" si="0"/>
        <v>43025</v>
      </c>
      <c r="B27" s="108">
        <f>IF(DIAS365('CALCULADORA TIL L-1'!$E$6,A27)&lt;0,0,DIAS365('CALCULADORA TIL L-1'!$E$6,A27))</f>
        <v>0</v>
      </c>
      <c r="C27" s="127">
        <f>+HLOOKUP('CALCULADORA TIL L-1'!$E$4,Tablas!$B$1:$B$181,Flujos!J27+1,FALSE)</f>
        <v>0.03605743</v>
      </c>
      <c r="D27" s="109">
        <f t="shared" si="2"/>
        <v>26.267042</v>
      </c>
      <c r="E27" s="110">
        <f t="shared" si="3"/>
        <v>3.605743</v>
      </c>
      <c r="F27" s="110">
        <f>ROUND(D26*ROUND(((1+'CALCULADORA TIL L-1'!$C$14)^(1/12)-1),6),6)</f>
        <v>0.168901</v>
      </c>
      <c r="G27" s="110">
        <f t="shared" si="4"/>
        <v>3.774644</v>
      </c>
      <c r="H27" s="111">
        <f>IF($B27=0,0,G27/POWER(1+'CALCULADORA TIL L-1'!$F$11,Flujos!$B27/365))</f>
        <v>0</v>
      </c>
      <c r="I27" s="112">
        <f t="shared" si="1"/>
        <v>43025</v>
      </c>
      <c r="J27" s="7">
        <v>25</v>
      </c>
      <c r="K27" s="113">
        <f t="shared" si="5"/>
        <v>760</v>
      </c>
      <c r="L27" s="128">
        <f t="shared" si="6"/>
        <v>13103442048.7771</v>
      </c>
      <c r="M27" s="114">
        <f t="shared" si="7"/>
        <v>1798742486.6219592</v>
      </c>
      <c r="N27" s="114">
        <f t="shared" si="8"/>
        <v>84256951.36314651</v>
      </c>
      <c r="O27" s="115">
        <f t="shared" si="9"/>
        <v>1882999437.9851058</v>
      </c>
    </row>
    <row r="28" spans="1:15" ht="12.75">
      <c r="A28" s="107">
        <f t="shared" si="0"/>
        <v>43056</v>
      </c>
      <c r="B28" s="108">
        <f>IF(DIAS365('CALCULADORA TIL L-1'!$E$6,A28)&lt;0,0,DIAS365('CALCULADORA TIL L-1'!$E$6,A28))</f>
        <v>0</v>
      </c>
      <c r="C28" s="127">
        <f>+HLOOKUP('CALCULADORA TIL L-1'!$E$4,Tablas!$B$1:$B$181,Flujos!J28+1,FALSE)</f>
        <v>0.04560506</v>
      </c>
      <c r="D28" s="109">
        <f t="shared" si="2"/>
        <v>21.706536</v>
      </c>
      <c r="E28" s="110">
        <f t="shared" si="3"/>
        <v>4.560506</v>
      </c>
      <c r="F28" s="110">
        <f>ROUND(D27*ROUND(((1+'CALCULADORA TIL L-1'!$C$14)^(1/12)-1),6),6)</f>
        <v>0.148514</v>
      </c>
      <c r="G28" s="110">
        <f t="shared" si="4"/>
        <v>4.70902</v>
      </c>
      <c r="H28" s="111">
        <f>IF($B28=0,0,G28/POWER(1+'CALCULADORA TIL L-1'!$F$11,Flujos!$B28/365))</f>
        <v>0</v>
      </c>
      <c r="I28" s="112">
        <f t="shared" si="1"/>
        <v>43056</v>
      </c>
      <c r="J28" s="7">
        <v>26</v>
      </c>
      <c r="K28" s="113">
        <f t="shared" si="5"/>
        <v>791</v>
      </c>
      <c r="L28" s="128">
        <f t="shared" si="6"/>
        <v>10828411381.6734</v>
      </c>
      <c r="M28" s="114">
        <f t="shared" si="7"/>
        <v>2275030667.1036634</v>
      </c>
      <c r="N28" s="114">
        <f t="shared" si="8"/>
        <v>74086861.34378572</v>
      </c>
      <c r="O28" s="115">
        <f t="shared" si="9"/>
        <v>2349117528.447449</v>
      </c>
    </row>
    <row r="29" spans="1:15" ht="12.75">
      <c r="A29" s="107">
        <f t="shared" si="0"/>
        <v>43086</v>
      </c>
      <c r="B29" s="108">
        <f>IF(DIAS365('CALCULADORA TIL L-1'!$E$6,A29)&lt;0,0,DIAS365('CALCULADORA TIL L-1'!$E$6,A29))</f>
        <v>0</v>
      </c>
      <c r="C29" s="127">
        <f>+HLOOKUP('CALCULADORA TIL L-1'!$E$4,Tablas!$B$1:$B$181,Flujos!J29+1,FALSE)</f>
        <v>0.03703401</v>
      </c>
      <c r="D29" s="109">
        <f t="shared" si="2"/>
        <v>18.003135</v>
      </c>
      <c r="E29" s="110">
        <f t="shared" si="3"/>
        <v>3.703401</v>
      </c>
      <c r="F29" s="110">
        <f>ROUND(D28*ROUND(((1+'CALCULADORA TIL L-1'!$C$14)^(1/12)-1),6),6)</f>
        <v>0.122729</v>
      </c>
      <c r="G29" s="110">
        <f t="shared" si="4"/>
        <v>3.82613</v>
      </c>
      <c r="H29" s="111">
        <f>IF($B29=0,0,G29/POWER(1+'CALCULADORA TIL L-1'!$F$11,Flujos!$B29/365))</f>
        <v>0</v>
      </c>
      <c r="I29" s="112">
        <f t="shared" si="1"/>
        <v>43086</v>
      </c>
      <c r="J29" s="7">
        <v>27</v>
      </c>
      <c r="K29" s="113">
        <f t="shared" si="5"/>
        <v>821</v>
      </c>
      <c r="L29" s="128">
        <f t="shared" si="6"/>
        <v>8980951725.31457</v>
      </c>
      <c r="M29" s="114">
        <f t="shared" si="7"/>
        <v>1847459656.3588283</v>
      </c>
      <c r="N29" s="114">
        <f t="shared" si="8"/>
        <v>61223837.95198141</v>
      </c>
      <c r="O29" s="115">
        <f t="shared" si="9"/>
        <v>1908683494.3108096</v>
      </c>
    </row>
    <row r="30" spans="1:15" ht="12.75">
      <c r="A30" s="107">
        <f t="shared" si="0"/>
        <v>43117</v>
      </c>
      <c r="B30" s="108">
        <f>IF(DIAS365('CALCULADORA TIL L-1'!$E$6,A30)&lt;0,0,DIAS365('CALCULADORA TIL L-1'!$E$6,A30))</f>
        <v>0</v>
      </c>
      <c r="C30" s="127">
        <f>+HLOOKUP('CALCULADORA TIL L-1'!$E$4,Tablas!$B$1:$B$181,Flujos!J30+1,FALSE)</f>
        <v>0.02719238</v>
      </c>
      <c r="D30" s="109">
        <f t="shared" si="2"/>
        <v>15.283897</v>
      </c>
      <c r="E30" s="110">
        <f t="shared" si="3"/>
        <v>2.719238</v>
      </c>
      <c r="F30" s="110">
        <f>ROUND(D29*ROUND(((1+'CALCULADORA TIL L-1'!$C$14)^(1/12)-1),6),6)</f>
        <v>0.10179</v>
      </c>
      <c r="G30" s="110">
        <f t="shared" si="4"/>
        <v>2.8210279999999996</v>
      </c>
      <c r="H30" s="111">
        <f>IF($B30=0,0,G30/POWER(1+'CALCULADORA TIL L-1'!$F$11,Flujos!$B30/365))</f>
        <v>0</v>
      </c>
      <c r="I30" s="112">
        <f t="shared" si="1"/>
        <v>43117</v>
      </c>
      <c r="J30" s="7">
        <v>28</v>
      </c>
      <c r="K30" s="113">
        <f t="shared" si="5"/>
        <v>852</v>
      </c>
      <c r="L30" s="128">
        <f t="shared" si="6"/>
        <v>7624446582.86905</v>
      </c>
      <c r="M30" s="114">
        <f t="shared" si="7"/>
        <v>1356505142.445516</v>
      </c>
      <c r="N30" s="114">
        <f t="shared" si="8"/>
        <v>50778301.05492858</v>
      </c>
      <c r="O30" s="115">
        <f t="shared" si="9"/>
        <v>1407283443.5004447</v>
      </c>
    </row>
    <row r="31" spans="1:15" ht="12.75">
      <c r="A31" s="107">
        <f t="shared" si="0"/>
        <v>43148</v>
      </c>
      <c r="B31" s="108">
        <f>IF(DIAS365('CALCULADORA TIL L-1'!$E$6,A31)&lt;0,0,DIAS365('CALCULADORA TIL L-1'!$E$6,A31))</f>
        <v>0</v>
      </c>
      <c r="C31" s="127">
        <f>+HLOOKUP('CALCULADORA TIL L-1'!$E$4,Tablas!$B$1:$B$181,Flujos!J31+1,FALSE)</f>
        <v>0.0319883</v>
      </c>
      <c r="D31" s="109">
        <f t="shared" si="2"/>
        <v>12.085067</v>
      </c>
      <c r="E31" s="110">
        <f t="shared" si="3"/>
        <v>3.19883</v>
      </c>
      <c r="F31" s="110">
        <f>ROUND(D30*ROUND(((1+'CALCULADORA TIL L-1'!$C$14)^(1/12)-1),6),6)</f>
        <v>0.086415</v>
      </c>
      <c r="G31" s="110">
        <f t="shared" si="4"/>
        <v>3.285245</v>
      </c>
      <c r="H31" s="111">
        <f>IF($B31=0,0,G31/POWER(1+'CALCULADORA TIL L-1'!$F$11,Flujos!$B31/365))</f>
        <v>0</v>
      </c>
      <c r="I31" s="112">
        <f t="shared" si="1"/>
        <v>43148</v>
      </c>
      <c r="J31" s="7">
        <v>29</v>
      </c>
      <c r="K31" s="113">
        <f t="shared" si="5"/>
        <v>883</v>
      </c>
      <c r="L31" s="128">
        <f t="shared" si="6"/>
        <v>6028694631.47348</v>
      </c>
      <c r="M31" s="114">
        <f t="shared" si="7"/>
        <v>1595751951.3955712</v>
      </c>
      <c r="N31" s="114">
        <f t="shared" si="8"/>
        <v>43108620.97954161</v>
      </c>
      <c r="O31" s="115">
        <f t="shared" si="9"/>
        <v>1638860572.3751128</v>
      </c>
    </row>
    <row r="32" spans="1:15" ht="12.75">
      <c r="A32" s="107">
        <f t="shared" si="0"/>
        <v>43176</v>
      </c>
      <c r="B32" s="108">
        <f>IF(DIAS365('CALCULADORA TIL L-1'!$E$6,A32)&lt;0,0,DIAS365('CALCULADORA TIL L-1'!$E$6,A32))</f>
        <v>0</v>
      </c>
      <c r="C32" s="127">
        <f>+HLOOKUP('CALCULADORA TIL L-1'!$E$4,Tablas!$B$1:$B$181,Flujos!J32+1,FALSE)</f>
        <v>0.03053954</v>
      </c>
      <c r="D32" s="109">
        <f t="shared" si="2"/>
        <v>9.031113</v>
      </c>
      <c r="E32" s="110">
        <f t="shared" si="3"/>
        <v>3.053954</v>
      </c>
      <c r="F32" s="110">
        <f>ROUND(D31*ROUND(((1+'CALCULADORA TIL L-1'!$C$14)^(1/12)-1),6),6)</f>
        <v>0.068329</v>
      </c>
      <c r="G32" s="110">
        <f t="shared" si="4"/>
        <v>3.122283</v>
      </c>
      <c r="H32" s="111">
        <f>IF($B32=0,0,G32/POWER(1+'CALCULADORA TIL L-1'!$F$11,Flujos!$B32/365))</f>
        <v>0</v>
      </c>
      <c r="I32" s="112">
        <f t="shared" si="1"/>
        <v>43176</v>
      </c>
      <c r="J32" s="7">
        <v>30</v>
      </c>
      <c r="K32" s="113">
        <f t="shared" si="5"/>
        <v>911</v>
      </c>
      <c r="L32" s="128">
        <f t="shared" si="6"/>
        <v>4505214779.47375</v>
      </c>
      <c r="M32" s="114">
        <f t="shared" si="7"/>
        <v>1523479851.9997346</v>
      </c>
      <c r="N32" s="114">
        <f t="shared" si="8"/>
        <v>34086239.44635106</v>
      </c>
      <c r="O32" s="115">
        <f t="shared" si="9"/>
        <v>1557566091.4460857</v>
      </c>
    </row>
    <row r="33" spans="1:15" ht="12.75">
      <c r="A33" s="107">
        <f t="shared" si="0"/>
        <v>43207</v>
      </c>
      <c r="B33" s="108">
        <f>IF(DIAS365('CALCULADORA TIL L-1'!$E$6,A33)&lt;0,0,DIAS365('CALCULADORA TIL L-1'!$E$6,A33))</f>
        <v>0</v>
      </c>
      <c r="C33" s="127">
        <f>+HLOOKUP('CALCULADORA TIL L-1'!$E$4,Tablas!$B$1:$B$181,Flujos!J33+1,FALSE)</f>
        <v>0.02420167</v>
      </c>
      <c r="D33" s="109">
        <f t="shared" si="2"/>
        <v>6.610946</v>
      </c>
      <c r="E33" s="110">
        <f t="shared" si="3"/>
        <v>2.420167</v>
      </c>
      <c r="F33" s="110">
        <f>ROUND(D32*ROUND(((1+'CALCULADORA TIL L-1'!$C$14)^(1/12)-1),6),6)</f>
        <v>0.051062</v>
      </c>
      <c r="G33" s="110">
        <f t="shared" si="4"/>
        <v>2.471229</v>
      </c>
      <c r="H33" s="111">
        <f>IF($B33=0,0,G33/POWER(1+'CALCULADORA TIL L-1'!$F$11,Flujos!$B33/365))</f>
        <v>0</v>
      </c>
      <c r="I33" s="112">
        <f t="shared" si="1"/>
        <v>43207</v>
      </c>
      <c r="J33" s="7">
        <v>31</v>
      </c>
      <c r="K33" s="113">
        <f t="shared" si="5"/>
        <v>942</v>
      </c>
      <c r="L33" s="128">
        <f t="shared" si="6"/>
        <v>3297902664.43382</v>
      </c>
      <c r="M33" s="114">
        <f t="shared" si="7"/>
        <v>1207312115.0399258</v>
      </c>
      <c r="N33" s="114">
        <f t="shared" si="8"/>
        <v>25472484.363144584</v>
      </c>
      <c r="O33" s="115">
        <f t="shared" si="9"/>
        <v>1232784599.4030704</v>
      </c>
    </row>
    <row r="34" spans="1:15" s="28" customFormat="1" ht="12.75">
      <c r="A34" s="107">
        <f t="shared" si="0"/>
        <v>43237</v>
      </c>
      <c r="B34" s="108">
        <f>IF(DIAS365('CALCULADORA TIL L-1'!$E$6,A34)&lt;0,0,DIAS365('CALCULADORA TIL L-1'!$E$6,A34))</f>
        <v>0</v>
      </c>
      <c r="C34" s="127">
        <f>+HLOOKUP('CALCULADORA TIL L-1'!$E$4,Tablas!$B$1:$B$181,Flujos!J34+1,FALSE)</f>
        <v>0.02375146</v>
      </c>
      <c r="D34" s="109">
        <f t="shared" si="2"/>
        <v>4.2358</v>
      </c>
      <c r="E34" s="110">
        <f t="shared" si="3"/>
        <v>2.375146</v>
      </c>
      <c r="F34" s="110">
        <f>ROUND(D33*ROUND(((1+'CALCULADORA TIL L-1'!$C$14)^(1/12)-1),6),6)</f>
        <v>0.037378</v>
      </c>
      <c r="G34" s="110">
        <f t="shared" si="4"/>
        <v>2.412524</v>
      </c>
      <c r="H34" s="111">
        <f>IF($B34=0,0,G34/POWER(1+'CALCULADORA TIL L-1'!$F$11,Flujos!$B34/365))</f>
        <v>0</v>
      </c>
      <c r="I34" s="112">
        <f t="shared" si="1"/>
        <v>43237</v>
      </c>
      <c r="J34" s="7">
        <v>32</v>
      </c>
      <c r="K34" s="113">
        <f t="shared" si="5"/>
        <v>972</v>
      </c>
      <c r="L34" s="128">
        <f t="shared" si="6"/>
        <v>2113049494.88452</v>
      </c>
      <c r="M34" s="114">
        <f t="shared" si="7"/>
        <v>1184853169.5492995</v>
      </c>
      <c r="N34" s="114">
        <f t="shared" si="8"/>
        <v>18646341.66470882</v>
      </c>
      <c r="O34" s="115">
        <f t="shared" si="9"/>
        <v>1203499511.2140083</v>
      </c>
    </row>
    <row r="35" spans="1:15" s="104" customFormat="1" ht="12.75">
      <c r="A35" s="116">
        <f t="shared" si="0"/>
        <v>43268</v>
      </c>
      <c r="B35" s="52">
        <f>IF(DIAS365('CALCULADORA TIL L-1'!$E$6,A35)&lt;0,0,DIAS365('CALCULADORA TIL L-1'!$E$6,A35))</f>
        <v>0</v>
      </c>
      <c r="C35" s="53">
        <f>+HLOOKUP('CALCULADORA TIL L-1'!$E$4,Tablas!$B$1:$B$181,Flujos!J35+1,FALSE)</f>
        <v>0.02231209</v>
      </c>
      <c r="D35" s="54">
        <f t="shared" si="2"/>
        <v>2.004591</v>
      </c>
      <c r="E35" s="55">
        <f t="shared" si="3"/>
        <v>2.231209</v>
      </c>
      <c r="F35" s="55">
        <f>ROUND(D34*ROUND(((1+'CALCULADORA TIL L-1'!$C$14)^(1/12)-1),6),6)</f>
        <v>0.023949</v>
      </c>
      <c r="G35" s="55">
        <f t="shared" si="4"/>
        <v>2.255158</v>
      </c>
      <c r="H35" s="56">
        <f>IF($B35=0,0,G35/POWER(1+'CALCULADORA TIL L-1'!$F$11,Flujos!$B35/365))</f>
        <v>0</v>
      </c>
      <c r="I35" s="57">
        <f t="shared" si="1"/>
        <v>43268</v>
      </c>
      <c r="J35" s="58">
        <v>33</v>
      </c>
      <c r="K35" s="59">
        <f t="shared" si="5"/>
        <v>1003</v>
      </c>
      <c r="L35" s="60">
        <f t="shared" si="6"/>
        <v>1000000000.00003</v>
      </c>
      <c r="M35" s="61">
        <f t="shared" si="7"/>
        <v>1113049494.8844926</v>
      </c>
      <c r="N35" s="61">
        <f t="shared" si="8"/>
        <v>11947181.844077077</v>
      </c>
      <c r="O35" s="62">
        <f t="shared" si="9"/>
        <v>1124996676.7285697</v>
      </c>
    </row>
    <row r="36" spans="1:15" ht="12.75">
      <c r="A36" s="39">
        <f t="shared" si="0"/>
        <v>43298</v>
      </c>
      <c r="B36" s="67">
        <f>IF(DIAS365('CALCULADORA TIL L-1'!$E$6,A36)&lt;0,0,DIAS365('CALCULADORA TIL L-1'!$E$6,A36))</f>
        <v>29</v>
      </c>
      <c r="C36" s="41">
        <f>+HLOOKUP('CALCULADORA TIL L-1'!$E$4,Tablas!$B$1:$B$181,Flujos!J36+1,FALSE)</f>
        <v>0.02004591</v>
      </c>
      <c r="D36" s="68">
        <f t="shared" si="2"/>
        <v>0</v>
      </c>
      <c r="E36" s="69">
        <f t="shared" si="3"/>
        <v>2.004591</v>
      </c>
      <c r="F36" s="69">
        <f>ROUND(D35*ROUND(((1+'CALCULADORA TIL L-1'!$C$14)^(1/12)-1),6),6)</f>
        <v>0.011334</v>
      </c>
      <c r="G36" s="69">
        <f t="shared" si="4"/>
        <v>2.015925</v>
      </c>
      <c r="H36" s="70">
        <f>IF($B36=0,0,G36/POWER(1+'CALCULADORA TIL L-1'!$F$11,Flujos!$B36/365))</f>
        <v>2.003635808213233</v>
      </c>
      <c r="I36" s="71">
        <f t="shared" si="1"/>
        <v>43298</v>
      </c>
      <c r="J36" s="72">
        <v>34</v>
      </c>
      <c r="K36" s="73">
        <f t="shared" si="5"/>
        <v>1033</v>
      </c>
      <c r="L36" s="48">
        <f t="shared" si="6"/>
        <v>3.004E-05</v>
      </c>
      <c r="M36" s="74">
        <f t="shared" si="7"/>
        <v>1000000000</v>
      </c>
      <c r="N36" s="74">
        <f t="shared" si="8"/>
        <v>5654000.00000017</v>
      </c>
      <c r="O36" s="75">
        <f t="shared" si="9"/>
        <v>1005654000.0000001</v>
      </c>
    </row>
    <row r="37" spans="1:15" ht="12.75">
      <c r="A37" s="39">
        <f t="shared" si="0"/>
        <v>43329</v>
      </c>
      <c r="B37" s="67">
        <f>IF(DIAS365('CALCULADORA TIL L-1'!$E$6,A37)&lt;0,0,DIAS365('CALCULADORA TIL L-1'!$E$6,A37))</f>
        <v>60</v>
      </c>
      <c r="C37" s="41">
        <f>+HLOOKUP('CALCULADORA TIL L-1'!$E$4,Tablas!$B$1:$B$181,Flujos!J37+1,FALSE)</f>
        <v>0</v>
      </c>
      <c r="D37" s="68">
        <f t="shared" si="2"/>
        <v>0</v>
      </c>
      <c r="E37" s="69">
        <f t="shared" si="3"/>
        <v>0</v>
      </c>
      <c r="F37" s="69">
        <f>ROUND(D36*ROUND(((1+'CALCULADORA TIL L-1'!$C$14)^(1/12)-1),6),6)</f>
        <v>0</v>
      </c>
      <c r="G37" s="69">
        <f t="shared" si="4"/>
        <v>0</v>
      </c>
      <c r="H37" s="70">
        <f>IF($B37=0,0,G37/POWER(1+'CALCULADORA TIL L-1'!$F$11,Flujos!$B37/365))</f>
        <v>0</v>
      </c>
      <c r="I37" s="71">
        <f t="shared" si="1"/>
        <v>43329</v>
      </c>
      <c r="J37" s="72">
        <v>35</v>
      </c>
      <c r="K37" s="73">
        <f t="shared" si="5"/>
        <v>1064</v>
      </c>
      <c r="L37" s="48">
        <f t="shared" si="6"/>
        <v>3.004E-05</v>
      </c>
      <c r="M37" s="74">
        <f t="shared" si="7"/>
        <v>0</v>
      </c>
      <c r="N37" s="74">
        <f t="shared" si="8"/>
        <v>1.6984616E-07</v>
      </c>
      <c r="O37" s="75">
        <f t="shared" si="9"/>
        <v>1.6984616E-07</v>
      </c>
    </row>
    <row r="38" spans="1:15" ht="12.75">
      <c r="A38" s="39">
        <f t="shared" si="0"/>
        <v>43360</v>
      </c>
      <c r="B38" s="67">
        <f>IF(DIAS365('CALCULADORA TIL L-1'!$E$6,A38)&lt;0,0,DIAS365('CALCULADORA TIL L-1'!$E$6,A38))</f>
        <v>91</v>
      </c>
      <c r="C38" s="41">
        <f>+HLOOKUP('CALCULADORA TIL L-1'!$E$4,Tablas!$B$1:$B$181,Flujos!J38+1,FALSE)</f>
        <v>0</v>
      </c>
      <c r="D38" s="68">
        <f t="shared" si="2"/>
        <v>0</v>
      </c>
      <c r="E38" s="69">
        <f t="shared" si="3"/>
        <v>0</v>
      </c>
      <c r="F38" s="69">
        <f>ROUND(D37*ROUND(((1+'CALCULADORA TIL L-1'!$C$14)^(1/12)-1),6),6)</f>
        <v>0</v>
      </c>
      <c r="G38" s="69">
        <f t="shared" si="4"/>
        <v>0</v>
      </c>
      <c r="H38" s="70">
        <f>IF($B38=0,0,G38/POWER(1+'CALCULADORA TIL L-1'!$F$11,Flujos!$B38/365))</f>
        <v>0</v>
      </c>
      <c r="I38" s="71">
        <f t="shared" si="1"/>
        <v>43360</v>
      </c>
      <c r="J38" s="72">
        <v>36</v>
      </c>
      <c r="K38" s="73">
        <f t="shared" si="5"/>
        <v>1095</v>
      </c>
      <c r="L38" s="48">
        <f t="shared" si="6"/>
        <v>3.004E-05</v>
      </c>
      <c r="M38" s="74">
        <f t="shared" si="7"/>
        <v>0</v>
      </c>
      <c r="N38" s="74">
        <f t="shared" si="8"/>
        <v>1.6984616E-07</v>
      </c>
      <c r="O38" s="75">
        <f t="shared" si="9"/>
        <v>1.6984616E-07</v>
      </c>
    </row>
    <row r="39" spans="1:15" ht="12.75">
      <c r="A39" s="39">
        <f t="shared" si="0"/>
        <v>43390</v>
      </c>
      <c r="B39" s="67">
        <f>IF(DIAS365('CALCULADORA TIL L-1'!$E$6,A39)&lt;0,0,DIAS365('CALCULADORA TIL L-1'!$E$6,A39))</f>
        <v>121</v>
      </c>
      <c r="C39" s="41">
        <f>+HLOOKUP('CALCULADORA TIL L-1'!$E$4,Tablas!$B$1:$B$181,Flujos!J39+1,FALSE)</f>
        <v>0</v>
      </c>
      <c r="D39" s="68">
        <f t="shared" si="2"/>
        <v>0</v>
      </c>
      <c r="E39" s="69">
        <f t="shared" si="3"/>
        <v>0</v>
      </c>
      <c r="F39" s="69">
        <f>ROUND(D38*ROUND(((1+'CALCULADORA TIL L-1'!$C$14)^(1/12)-1),6),6)</f>
        <v>0</v>
      </c>
      <c r="G39" s="69">
        <f t="shared" si="4"/>
        <v>0</v>
      </c>
      <c r="H39" s="70">
        <f>IF($B39=0,0,G39/POWER(1+'CALCULADORA TIL L-1'!$F$11,Flujos!$B39/365))</f>
        <v>0</v>
      </c>
      <c r="I39" s="71">
        <f t="shared" si="1"/>
        <v>43390</v>
      </c>
      <c r="J39" s="72">
        <v>37</v>
      </c>
      <c r="K39" s="73">
        <f t="shared" si="5"/>
        <v>1125</v>
      </c>
      <c r="L39" s="48">
        <f t="shared" si="6"/>
        <v>3.004E-05</v>
      </c>
      <c r="M39" s="74">
        <f t="shared" si="7"/>
        <v>0</v>
      </c>
      <c r="N39" s="74">
        <f t="shared" si="8"/>
        <v>1.6984616E-07</v>
      </c>
      <c r="O39" s="75">
        <f t="shared" si="9"/>
        <v>1.6984616E-07</v>
      </c>
    </row>
    <row r="40" spans="1:15" ht="12.75">
      <c r="A40" s="39">
        <f t="shared" si="0"/>
        <v>43421</v>
      </c>
      <c r="B40" s="67">
        <f>IF(DIAS365('CALCULADORA TIL L-1'!$E$6,A40)&lt;0,0,DIAS365('CALCULADORA TIL L-1'!$E$6,A40))</f>
        <v>152</v>
      </c>
      <c r="C40" s="41">
        <f>+HLOOKUP('CALCULADORA TIL L-1'!$E$4,Tablas!$B$1:$B$181,Flujos!J40+1,FALSE)</f>
        <v>0</v>
      </c>
      <c r="D40" s="68">
        <f t="shared" si="2"/>
        <v>0</v>
      </c>
      <c r="E40" s="69">
        <f t="shared" si="3"/>
        <v>0</v>
      </c>
      <c r="F40" s="69">
        <f>ROUND(D39*ROUND(((1+'CALCULADORA TIL L-1'!$C$14)^(1/12)-1),6),6)</f>
        <v>0</v>
      </c>
      <c r="G40" s="69">
        <f t="shared" si="4"/>
        <v>0</v>
      </c>
      <c r="H40" s="70">
        <f>IF($B40=0,0,G40/POWER(1+'CALCULADORA TIL L-1'!$F$11,Flujos!$B40/365))</f>
        <v>0</v>
      </c>
      <c r="I40" s="71">
        <f t="shared" si="1"/>
        <v>43421</v>
      </c>
      <c r="J40" s="72">
        <v>38</v>
      </c>
      <c r="K40" s="73">
        <f t="shared" si="5"/>
        <v>1156</v>
      </c>
      <c r="L40" s="48">
        <f t="shared" si="6"/>
        <v>3.004E-05</v>
      </c>
      <c r="M40" s="74">
        <f t="shared" si="7"/>
        <v>0</v>
      </c>
      <c r="N40" s="74">
        <f t="shared" si="8"/>
        <v>1.6984616E-07</v>
      </c>
      <c r="O40" s="75">
        <f t="shared" si="9"/>
        <v>1.6984616E-07</v>
      </c>
    </row>
    <row r="41" spans="1:15" ht="12.75">
      <c r="A41" s="39">
        <f t="shared" si="0"/>
        <v>43451</v>
      </c>
      <c r="B41" s="67">
        <f>IF(DIAS365('CALCULADORA TIL L-1'!$E$6,A41)&lt;0,0,DIAS365('CALCULADORA TIL L-1'!$E$6,A41))</f>
        <v>182</v>
      </c>
      <c r="C41" s="41">
        <f>+HLOOKUP('CALCULADORA TIL L-1'!$E$4,Tablas!$B$1:$B$181,Flujos!J41+1,FALSE)</f>
        <v>0</v>
      </c>
      <c r="D41" s="68">
        <f t="shared" si="2"/>
        <v>0</v>
      </c>
      <c r="E41" s="69">
        <f t="shared" si="3"/>
        <v>0</v>
      </c>
      <c r="F41" s="69">
        <f>ROUND(D40*ROUND(((1+'CALCULADORA TIL L-1'!$C$14)^(1/12)-1),6),6)</f>
        <v>0</v>
      </c>
      <c r="G41" s="69">
        <f t="shared" si="4"/>
        <v>0</v>
      </c>
      <c r="H41" s="70">
        <f>IF($B41=0,0,G41/POWER(1+'CALCULADORA TIL L-1'!$F$11,Flujos!$B41/365))</f>
        <v>0</v>
      </c>
      <c r="I41" s="71">
        <f t="shared" si="1"/>
        <v>43451</v>
      </c>
      <c r="J41" s="72">
        <v>39</v>
      </c>
      <c r="K41" s="73">
        <f t="shared" si="5"/>
        <v>1186</v>
      </c>
      <c r="L41" s="48">
        <f t="shared" si="6"/>
        <v>3.004E-05</v>
      </c>
      <c r="M41" s="74">
        <f t="shared" si="7"/>
        <v>0</v>
      </c>
      <c r="N41" s="74">
        <f t="shared" si="8"/>
        <v>1.6984616E-07</v>
      </c>
      <c r="O41" s="75">
        <f t="shared" si="9"/>
        <v>1.6984616E-07</v>
      </c>
    </row>
    <row r="42" spans="1:15" ht="12.75">
      <c r="A42" s="39">
        <f t="shared" si="0"/>
        <v>43482</v>
      </c>
      <c r="B42" s="67">
        <f>IF(DIAS365('CALCULADORA TIL L-1'!$E$6,A42)&lt;0,0,DIAS365('CALCULADORA TIL L-1'!$E$6,A42))</f>
        <v>213</v>
      </c>
      <c r="C42" s="41">
        <f>+HLOOKUP('CALCULADORA TIL L-1'!$E$4,Tablas!$B$1:$B$181,Flujos!J42+1,FALSE)</f>
        <v>0</v>
      </c>
      <c r="D42" s="68">
        <f t="shared" si="2"/>
        <v>0</v>
      </c>
      <c r="E42" s="69">
        <f t="shared" si="3"/>
        <v>0</v>
      </c>
      <c r="F42" s="69">
        <f>ROUND(D41*ROUND(((1+'CALCULADORA TIL L-1'!$C$14)^(1/12)-1),6),6)</f>
        <v>0</v>
      </c>
      <c r="G42" s="69">
        <f t="shared" si="4"/>
        <v>0</v>
      </c>
      <c r="H42" s="70">
        <f>IF($B42=0,0,G42/POWER(1+'CALCULADORA TIL L-1'!$F$11,Flujos!$B42/365))</f>
        <v>0</v>
      </c>
      <c r="I42" s="71">
        <f t="shared" si="1"/>
        <v>43482</v>
      </c>
      <c r="J42" s="72">
        <v>40</v>
      </c>
      <c r="K42" s="73">
        <f t="shared" si="5"/>
        <v>1217</v>
      </c>
      <c r="L42" s="48">
        <f t="shared" si="6"/>
        <v>3.004E-05</v>
      </c>
      <c r="M42" s="74">
        <f t="shared" si="7"/>
        <v>0</v>
      </c>
      <c r="N42" s="74">
        <f t="shared" si="8"/>
        <v>1.6984616E-07</v>
      </c>
      <c r="O42" s="75">
        <f t="shared" si="9"/>
        <v>1.6984616E-07</v>
      </c>
    </row>
    <row r="43" spans="1:15" ht="12.75">
      <c r="A43" s="39">
        <f t="shared" si="0"/>
        <v>43513</v>
      </c>
      <c r="B43" s="67">
        <f>IF(DIAS365('CALCULADORA TIL L-1'!$E$6,A43)&lt;0,0,DIAS365('CALCULADORA TIL L-1'!$E$6,A43))</f>
        <v>244</v>
      </c>
      <c r="C43" s="41">
        <f>+HLOOKUP('CALCULADORA TIL L-1'!$E$4,Tablas!$B$1:$B$181,Flujos!J43+1,FALSE)</f>
        <v>0</v>
      </c>
      <c r="D43" s="68">
        <f t="shared" si="2"/>
        <v>0</v>
      </c>
      <c r="E43" s="69">
        <f t="shared" si="3"/>
        <v>0</v>
      </c>
      <c r="F43" s="69">
        <f>ROUND(D42*ROUND(((1+'CALCULADORA TIL L-1'!$C$14)^(1/12)-1),6),6)</f>
        <v>0</v>
      </c>
      <c r="G43" s="69">
        <f t="shared" si="4"/>
        <v>0</v>
      </c>
      <c r="H43" s="70">
        <f>IF($B43=0,0,G43/POWER(1+'CALCULADORA TIL L-1'!$F$11,Flujos!$B43/365))</f>
        <v>0</v>
      </c>
      <c r="I43" s="71">
        <f t="shared" si="1"/>
        <v>43513</v>
      </c>
      <c r="J43" s="72">
        <v>41</v>
      </c>
      <c r="K43" s="73">
        <f t="shared" si="5"/>
        <v>1248</v>
      </c>
      <c r="L43" s="48">
        <f t="shared" si="6"/>
        <v>3.004E-05</v>
      </c>
      <c r="M43" s="74">
        <f t="shared" si="7"/>
        <v>0</v>
      </c>
      <c r="N43" s="74">
        <f t="shared" si="8"/>
        <v>1.6984616E-07</v>
      </c>
      <c r="O43" s="75">
        <f t="shared" si="9"/>
        <v>1.6984616E-07</v>
      </c>
    </row>
    <row r="44" spans="1:15" ht="12.75">
      <c r="A44" s="39">
        <f t="shared" si="0"/>
        <v>43541</v>
      </c>
      <c r="B44" s="67">
        <f>IF(DIAS365('CALCULADORA TIL L-1'!$E$6,A44)&lt;0,0,DIAS365('CALCULADORA TIL L-1'!$E$6,A44))</f>
        <v>272</v>
      </c>
      <c r="C44" s="41">
        <f>+HLOOKUP('CALCULADORA TIL L-1'!$E$4,Tablas!$B$1:$B$181,Flujos!J44+1,FALSE)</f>
        <v>0</v>
      </c>
      <c r="D44" s="68">
        <f t="shared" si="2"/>
        <v>0</v>
      </c>
      <c r="E44" s="69">
        <f t="shared" si="3"/>
        <v>0</v>
      </c>
      <c r="F44" s="69">
        <f>ROUND(D43*ROUND(((1+'CALCULADORA TIL L-1'!$C$14)^(1/12)-1),6),6)</f>
        <v>0</v>
      </c>
      <c r="G44" s="69">
        <f t="shared" si="4"/>
        <v>0</v>
      </c>
      <c r="H44" s="70">
        <f>IF($B44=0,0,G44/POWER(1+'CALCULADORA TIL L-1'!$F$11,Flujos!$B44/365))</f>
        <v>0</v>
      </c>
      <c r="I44" s="71">
        <f t="shared" si="1"/>
        <v>43541</v>
      </c>
      <c r="J44" s="72">
        <v>42</v>
      </c>
      <c r="K44" s="73">
        <f t="shared" si="5"/>
        <v>1276</v>
      </c>
      <c r="L44" s="48">
        <f t="shared" si="6"/>
        <v>3.004E-05</v>
      </c>
      <c r="M44" s="74">
        <f t="shared" si="7"/>
        <v>0</v>
      </c>
      <c r="N44" s="74">
        <f t="shared" si="8"/>
        <v>1.6984616E-07</v>
      </c>
      <c r="O44" s="75">
        <f t="shared" si="9"/>
        <v>1.6984616E-07</v>
      </c>
    </row>
    <row r="45" spans="1:15" ht="12.75">
      <c r="A45" s="39">
        <f t="shared" si="0"/>
        <v>43572</v>
      </c>
      <c r="B45" s="67">
        <f>IF(DIAS365('CALCULADORA TIL L-1'!$E$6,A45)&lt;0,0,DIAS365('CALCULADORA TIL L-1'!$E$6,A45))</f>
        <v>303</v>
      </c>
      <c r="C45" s="41">
        <f>+HLOOKUP('CALCULADORA TIL L-1'!$E$4,Tablas!$B$1:$B$181,Flujos!J45+1,FALSE)</f>
        <v>0</v>
      </c>
      <c r="D45" s="68">
        <f t="shared" si="2"/>
        <v>0</v>
      </c>
      <c r="E45" s="69">
        <f t="shared" si="3"/>
        <v>0</v>
      </c>
      <c r="F45" s="69">
        <f>ROUND(D44*ROUND(((1+'CALCULADORA TIL L-1'!$C$14)^(1/12)-1),6),6)</f>
        <v>0</v>
      </c>
      <c r="G45" s="69">
        <f t="shared" si="4"/>
        <v>0</v>
      </c>
      <c r="H45" s="70">
        <f>IF($B45=0,0,G45/POWER(1+'CALCULADORA TIL L-1'!$F$11,Flujos!$B45/365))</f>
        <v>0</v>
      </c>
      <c r="I45" s="71">
        <f t="shared" si="1"/>
        <v>43572</v>
      </c>
      <c r="J45" s="72">
        <v>43</v>
      </c>
      <c r="K45" s="73">
        <f t="shared" si="5"/>
        <v>1307</v>
      </c>
      <c r="L45" s="48">
        <f t="shared" si="6"/>
        <v>3.004E-05</v>
      </c>
      <c r="M45" s="74">
        <f t="shared" si="7"/>
        <v>0</v>
      </c>
      <c r="N45" s="74">
        <f t="shared" si="8"/>
        <v>1.6984616E-07</v>
      </c>
      <c r="O45" s="75">
        <f t="shared" si="9"/>
        <v>1.6984616E-07</v>
      </c>
    </row>
    <row r="46" spans="1:15" ht="12.75">
      <c r="A46" s="39">
        <f t="shared" si="0"/>
        <v>43602</v>
      </c>
      <c r="B46" s="67">
        <f>IF(DIAS365('CALCULADORA TIL L-1'!$E$6,A46)&lt;0,0,DIAS365('CALCULADORA TIL L-1'!$E$6,A46))</f>
        <v>333</v>
      </c>
      <c r="C46" s="41">
        <f>+HLOOKUP('CALCULADORA TIL L-1'!$E$4,Tablas!$B$1:$B$181,Flujos!J46+1,FALSE)</f>
        <v>0</v>
      </c>
      <c r="D46" s="68">
        <f t="shared" si="2"/>
        <v>0</v>
      </c>
      <c r="E46" s="69">
        <f t="shared" si="3"/>
        <v>0</v>
      </c>
      <c r="F46" s="69">
        <f>ROUND(D45*ROUND(((1+'CALCULADORA TIL L-1'!$C$14)^(1/12)-1),6),6)</f>
        <v>0</v>
      </c>
      <c r="G46" s="69">
        <f t="shared" si="4"/>
        <v>0</v>
      </c>
      <c r="H46" s="70">
        <f>IF($B46=0,0,G46/POWER(1+'CALCULADORA TIL L-1'!$F$11,Flujos!$B46/365))</f>
        <v>0</v>
      </c>
      <c r="I46" s="71">
        <f t="shared" si="1"/>
        <v>43602</v>
      </c>
      <c r="J46" s="72">
        <v>44</v>
      </c>
      <c r="K46" s="73">
        <f t="shared" si="5"/>
        <v>1337</v>
      </c>
      <c r="L46" s="48">
        <f t="shared" si="6"/>
        <v>3.004E-05</v>
      </c>
      <c r="M46" s="74">
        <f t="shared" si="7"/>
        <v>0</v>
      </c>
      <c r="N46" s="74">
        <f t="shared" si="8"/>
        <v>1.6984616E-07</v>
      </c>
      <c r="O46" s="75">
        <f t="shared" si="9"/>
        <v>1.6984616E-07</v>
      </c>
    </row>
    <row r="47" spans="1:15" ht="12.75">
      <c r="A47" s="39">
        <f t="shared" si="0"/>
        <v>43633</v>
      </c>
      <c r="B47" s="67">
        <f>IF(DIAS365('CALCULADORA TIL L-1'!$E$6,A47)&lt;0,0,DIAS365('CALCULADORA TIL L-1'!$E$6,A47))</f>
        <v>364</v>
      </c>
      <c r="C47" s="41">
        <f>+HLOOKUP('CALCULADORA TIL L-1'!$E$4,Tablas!$B$1:$B$181,Flujos!J47+1,FALSE)</f>
        <v>0</v>
      </c>
      <c r="D47" s="68">
        <f t="shared" si="2"/>
        <v>0</v>
      </c>
      <c r="E47" s="69">
        <f t="shared" si="3"/>
        <v>0</v>
      </c>
      <c r="F47" s="69">
        <f>ROUND(D46*ROUND(((1+'CALCULADORA TIL L-1'!$C$14)^(1/12)-1),6),6)</f>
        <v>0</v>
      </c>
      <c r="G47" s="69">
        <f t="shared" si="4"/>
        <v>0</v>
      </c>
      <c r="H47" s="70">
        <f>IF($B47=0,0,G47/POWER(1+'CALCULADORA TIL L-1'!$F$11,Flujos!$B47/365))</f>
        <v>0</v>
      </c>
      <c r="I47" s="71">
        <f t="shared" si="1"/>
        <v>43633</v>
      </c>
      <c r="J47" s="72">
        <v>45</v>
      </c>
      <c r="K47" s="73">
        <f t="shared" si="5"/>
        <v>1368</v>
      </c>
      <c r="L47" s="48">
        <f t="shared" si="6"/>
        <v>3.004E-05</v>
      </c>
      <c r="M47" s="74">
        <f t="shared" si="7"/>
        <v>0</v>
      </c>
      <c r="N47" s="74">
        <f t="shared" si="8"/>
        <v>1.6984616E-07</v>
      </c>
      <c r="O47" s="75">
        <f t="shared" si="9"/>
        <v>1.6984616E-07</v>
      </c>
    </row>
    <row r="48" spans="1:15" ht="12.75">
      <c r="A48" s="39">
        <f t="shared" si="0"/>
        <v>43663</v>
      </c>
      <c r="B48" s="67">
        <f>IF(DIAS365('CALCULADORA TIL L-1'!$E$6,A48)&lt;0,0,DIAS365('CALCULADORA TIL L-1'!$E$6,A48))</f>
        <v>394</v>
      </c>
      <c r="C48" s="41">
        <f>+HLOOKUP('CALCULADORA TIL L-1'!$E$4,Tablas!$B$1:$B$181,Flujos!J48+1,FALSE)</f>
        <v>0</v>
      </c>
      <c r="D48" s="68">
        <f t="shared" si="2"/>
        <v>0</v>
      </c>
      <c r="E48" s="69">
        <f t="shared" si="3"/>
        <v>0</v>
      </c>
      <c r="F48" s="69">
        <f>ROUND(D47*ROUND(((1+'CALCULADORA TIL L-1'!$C$14)^(1/12)-1),6),6)</f>
        <v>0</v>
      </c>
      <c r="G48" s="69">
        <f t="shared" si="4"/>
        <v>0</v>
      </c>
      <c r="H48" s="70">
        <f>IF($B48=0,0,G48/POWER(1+'CALCULADORA TIL L-1'!$F$11,Flujos!$B48/365))</f>
        <v>0</v>
      </c>
      <c r="I48" s="71">
        <f t="shared" si="1"/>
        <v>43663</v>
      </c>
      <c r="J48" s="72">
        <v>46</v>
      </c>
      <c r="K48" s="73">
        <f t="shared" si="5"/>
        <v>1398</v>
      </c>
      <c r="L48" s="48">
        <f t="shared" si="6"/>
        <v>3.004E-05</v>
      </c>
      <c r="M48" s="74">
        <f t="shared" si="7"/>
        <v>0</v>
      </c>
      <c r="N48" s="74">
        <f t="shared" si="8"/>
        <v>1.6984616E-07</v>
      </c>
      <c r="O48" s="75">
        <f t="shared" si="9"/>
        <v>1.6984616E-07</v>
      </c>
    </row>
    <row r="49" spans="1:15" ht="12.75">
      <c r="A49" s="39">
        <f t="shared" si="0"/>
        <v>43694</v>
      </c>
      <c r="B49" s="67">
        <f>IF(DIAS365('CALCULADORA TIL L-1'!$E$6,A49)&lt;0,0,DIAS365('CALCULADORA TIL L-1'!$E$6,A49))</f>
        <v>425</v>
      </c>
      <c r="C49" s="41">
        <f>+HLOOKUP('CALCULADORA TIL L-1'!$E$4,Tablas!$B$1:$B$181,Flujos!J49+1,FALSE)</f>
        <v>0</v>
      </c>
      <c r="D49" s="68">
        <f t="shared" si="2"/>
        <v>0</v>
      </c>
      <c r="E49" s="69">
        <f t="shared" si="3"/>
        <v>0</v>
      </c>
      <c r="F49" s="69">
        <f>ROUND(D48*ROUND(((1+'CALCULADORA TIL L-1'!$C$14)^(1/12)-1),6),6)</f>
        <v>0</v>
      </c>
      <c r="G49" s="69">
        <f t="shared" si="4"/>
        <v>0</v>
      </c>
      <c r="H49" s="70">
        <f>IF($B49=0,0,G49/POWER(1+'CALCULADORA TIL L-1'!$F$11,Flujos!$B49/365))</f>
        <v>0</v>
      </c>
      <c r="I49" s="71">
        <f t="shared" si="1"/>
        <v>43694</v>
      </c>
      <c r="J49" s="72">
        <v>47</v>
      </c>
      <c r="K49" s="73">
        <f t="shared" si="5"/>
        <v>1429</v>
      </c>
      <c r="L49" s="48">
        <f t="shared" si="6"/>
        <v>3.004E-05</v>
      </c>
      <c r="M49" s="74">
        <f t="shared" si="7"/>
        <v>0</v>
      </c>
      <c r="N49" s="74">
        <f t="shared" si="8"/>
        <v>1.6984616E-07</v>
      </c>
      <c r="O49" s="75">
        <f t="shared" si="9"/>
        <v>1.6984616E-07</v>
      </c>
    </row>
    <row r="50" spans="1:15" ht="12.75">
      <c r="A50" s="39">
        <f t="shared" si="0"/>
        <v>43725</v>
      </c>
      <c r="B50" s="67">
        <f>IF(DIAS365('CALCULADORA TIL L-1'!$E$6,A50)&lt;0,0,DIAS365('CALCULADORA TIL L-1'!$E$6,A50))</f>
        <v>456</v>
      </c>
      <c r="C50" s="41">
        <f>+HLOOKUP('CALCULADORA TIL L-1'!$E$4,Tablas!$B$1:$B$181,Flujos!J50+1,FALSE)</f>
        <v>0</v>
      </c>
      <c r="D50" s="68">
        <f t="shared" si="2"/>
        <v>0</v>
      </c>
      <c r="E50" s="69">
        <f t="shared" si="3"/>
        <v>0</v>
      </c>
      <c r="F50" s="69">
        <f>ROUND(D49*ROUND(((1+'CALCULADORA TIL L-1'!$C$14)^(1/12)-1),6),6)</f>
        <v>0</v>
      </c>
      <c r="G50" s="69">
        <f t="shared" si="4"/>
        <v>0</v>
      </c>
      <c r="H50" s="70">
        <f>IF($B50=0,0,G50/POWER(1+'CALCULADORA TIL L-1'!$F$11,Flujos!$B50/365))</f>
        <v>0</v>
      </c>
      <c r="I50" s="71">
        <f t="shared" si="1"/>
        <v>43725</v>
      </c>
      <c r="J50" s="72">
        <v>48</v>
      </c>
      <c r="K50" s="73">
        <f t="shared" si="5"/>
        <v>1460</v>
      </c>
      <c r="L50" s="48">
        <f t="shared" si="6"/>
        <v>3.004E-05</v>
      </c>
      <c r="M50" s="74">
        <f t="shared" si="7"/>
        <v>0</v>
      </c>
      <c r="N50" s="74">
        <f t="shared" si="8"/>
        <v>1.6984616E-07</v>
      </c>
      <c r="O50" s="75">
        <f t="shared" si="9"/>
        <v>1.6984616E-07</v>
      </c>
    </row>
    <row r="51" spans="1:15" ht="12.75">
      <c r="A51" s="39">
        <f t="shared" si="0"/>
        <v>43755</v>
      </c>
      <c r="B51" s="67">
        <f>IF(DIAS365('CALCULADORA TIL L-1'!$E$6,A51)&lt;0,0,DIAS365('CALCULADORA TIL L-1'!$E$6,A51))</f>
        <v>486</v>
      </c>
      <c r="C51" s="41">
        <f>+HLOOKUP('CALCULADORA TIL L-1'!$E$4,Tablas!$B$1:$B$181,Flujos!J51+1,FALSE)</f>
        <v>0</v>
      </c>
      <c r="D51" s="68">
        <f t="shared" si="2"/>
        <v>0</v>
      </c>
      <c r="E51" s="69">
        <f t="shared" si="3"/>
        <v>0</v>
      </c>
      <c r="F51" s="69">
        <f>ROUND(D50*ROUND(((1+'CALCULADORA TIL L-1'!$C$14)^(1/12)-1),6),6)</f>
        <v>0</v>
      </c>
      <c r="G51" s="69">
        <f t="shared" si="4"/>
        <v>0</v>
      </c>
      <c r="H51" s="70">
        <f>IF($B51=0,0,G51/POWER(1+'CALCULADORA TIL L-1'!$F$11,Flujos!$B51/365))</f>
        <v>0</v>
      </c>
      <c r="I51" s="71">
        <f t="shared" si="1"/>
        <v>43755</v>
      </c>
      <c r="J51" s="72">
        <v>49</v>
      </c>
      <c r="K51" s="73">
        <f t="shared" si="5"/>
        <v>1490</v>
      </c>
      <c r="L51" s="48">
        <f t="shared" si="6"/>
        <v>3.004E-05</v>
      </c>
      <c r="M51" s="74">
        <f t="shared" si="7"/>
        <v>0</v>
      </c>
      <c r="N51" s="74">
        <f t="shared" si="8"/>
        <v>1.6984616E-07</v>
      </c>
      <c r="O51" s="75">
        <f t="shared" si="9"/>
        <v>1.6984616E-07</v>
      </c>
    </row>
    <row r="52" spans="1:15" ht="12.75">
      <c r="A52" s="39">
        <f t="shared" si="0"/>
        <v>43786</v>
      </c>
      <c r="B52" s="67">
        <f>IF(DIAS365('CALCULADORA TIL L-1'!$E$6,A52)&lt;0,0,DIAS365('CALCULADORA TIL L-1'!$E$6,A52))</f>
        <v>517</v>
      </c>
      <c r="C52" s="41">
        <f>+HLOOKUP('CALCULADORA TIL L-1'!$E$4,Tablas!$B$1:$B$181,Flujos!J52+1,FALSE)</f>
        <v>0</v>
      </c>
      <c r="D52" s="68">
        <f t="shared" si="2"/>
        <v>0</v>
      </c>
      <c r="E52" s="69">
        <f t="shared" si="3"/>
        <v>0</v>
      </c>
      <c r="F52" s="69">
        <f>ROUND(D51*ROUND(((1+'CALCULADORA TIL L-1'!$C$14)^(1/12)-1),6),6)</f>
        <v>0</v>
      </c>
      <c r="G52" s="69">
        <f t="shared" si="4"/>
        <v>0</v>
      </c>
      <c r="H52" s="70">
        <f>IF($B52=0,0,G52/POWER(1+'CALCULADORA TIL L-1'!$F$11,Flujos!$B52/365))</f>
        <v>0</v>
      </c>
      <c r="I52" s="71">
        <f t="shared" si="1"/>
        <v>43786</v>
      </c>
      <c r="J52" s="72">
        <v>50</v>
      </c>
      <c r="K52" s="73">
        <f t="shared" si="5"/>
        <v>1521</v>
      </c>
      <c r="L52" s="48">
        <f t="shared" si="6"/>
        <v>3.004E-05</v>
      </c>
      <c r="M52" s="74">
        <f t="shared" si="7"/>
        <v>0</v>
      </c>
      <c r="N52" s="74">
        <f t="shared" si="8"/>
        <v>1.6984616E-07</v>
      </c>
      <c r="O52" s="75">
        <f t="shared" si="9"/>
        <v>1.6984616E-07</v>
      </c>
    </row>
    <row r="53" spans="1:15" ht="12.75">
      <c r="A53" s="39">
        <f t="shared" si="0"/>
        <v>43816</v>
      </c>
      <c r="B53" s="67">
        <f>IF(DIAS365('CALCULADORA TIL L-1'!$E$6,A53)&lt;0,0,DIAS365('CALCULADORA TIL L-1'!$E$6,A53))</f>
        <v>547</v>
      </c>
      <c r="C53" s="41">
        <f>+HLOOKUP('CALCULADORA TIL L-1'!$E$4,Tablas!$B$1:$B$181,Flujos!J53+1,FALSE)</f>
        <v>0</v>
      </c>
      <c r="D53" s="68">
        <f t="shared" si="2"/>
        <v>0</v>
      </c>
      <c r="E53" s="69">
        <f t="shared" si="3"/>
        <v>0</v>
      </c>
      <c r="F53" s="69">
        <f>ROUND(D52*ROUND(((1+'CALCULADORA TIL L-1'!$C$14)^(1/12)-1),6),6)</f>
        <v>0</v>
      </c>
      <c r="G53" s="69">
        <f t="shared" si="4"/>
        <v>0</v>
      </c>
      <c r="H53" s="70">
        <f>IF($B53=0,0,G53/POWER(1+'CALCULADORA TIL L-1'!$F$11,Flujos!$B53/365))</f>
        <v>0</v>
      </c>
      <c r="I53" s="71">
        <f t="shared" si="1"/>
        <v>43816</v>
      </c>
      <c r="J53" s="72">
        <v>51</v>
      </c>
      <c r="K53" s="73">
        <f t="shared" si="5"/>
        <v>1551</v>
      </c>
      <c r="L53" s="48">
        <f t="shared" si="6"/>
        <v>3.004E-05</v>
      </c>
      <c r="M53" s="74">
        <f t="shared" si="7"/>
        <v>0</v>
      </c>
      <c r="N53" s="74">
        <f t="shared" si="8"/>
        <v>1.6984616E-07</v>
      </c>
      <c r="O53" s="75">
        <f t="shared" si="9"/>
        <v>1.6984616E-07</v>
      </c>
    </row>
    <row r="54" spans="1:15" ht="12.75">
      <c r="A54" s="39">
        <f t="shared" si="0"/>
        <v>43847</v>
      </c>
      <c r="B54" s="67">
        <f>IF(DIAS365('CALCULADORA TIL L-1'!$E$6,A54)&lt;0,0,DIAS365('CALCULADORA TIL L-1'!$E$6,A54))</f>
        <v>578</v>
      </c>
      <c r="C54" s="41">
        <f>+HLOOKUP('CALCULADORA TIL L-1'!$E$4,Tablas!$B$1:$B$181,Flujos!J54+1,FALSE)</f>
        <v>0</v>
      </c>
      <c r="D54" s="68">
        <f t="shared" si="2"/>
        <v>0</v>
      </c>
      <c r="E54" s="69">
        <f t="shared" si="3"/>
        <v>0</v>
      </c>
      <c r="F54" s="69">
        <f>ROUND(D53*ROUND(((1+'CALCULADORA TIL L-1'!$C$14)^(1/12)-1),6),6)</f>
        <v>0</v>
      </c>
      <c r="G54" s="69">
        <f t="shared" si="4"/>
        <v>0</v>
      </c>
      <c r="H54" s="70">
        <f>IF($B54=0,0,G54/POWER(1+'CALCULADORA TIL L-1'!$F$11,Flujos!$B54/365))</f>
        <v>0</v>
      </c>
      <c r="I54" s="71">
        <f t="shared" si="1"/>
        <v>43847</v>
      </c>
      <c r="J54" s="72">
        <v>52</v>
      </c>
      <c r="K54" s="73">
        <f t="shared" si="5"/>
        <v>1582</v>
      </c>
      <c r="L54" s="48">
        <f t="shared" si="6"/>
        <v>3.004E-05</v>
      </c>
      <c r="M54" s="74">
        <f t="shared" si="7"/>
        <v>0</v>
      </c>
      <c r="N54" s="74">
        <f t="shared" si="8"/>
        <v>1.6984616E-07</v>
      </c>
      <c r="O54" s="75">
        <f t="shared" si="9"/>
        <v>1.6984616E-07</v>
      </c>
    </row>
    <row r="55" spans="1:15" ht="12.75">
      <c r="A55" s="39">
        <f t="shared" si="0"/>
        <v>43878</v>
      </c>
      <c r="B55" s="67">
        <f>IF(DIAS365('CALCULADORA TIL L-1'!$E$6,A55)&lt;0,0,DIAS365('CALCULADORA TIL L-1'!$E$6,A55))</f>
        <v>609</v>
      </c>
      <c r="C55" s="41">
        <f>+HLOOKUP('CALCULADORA TIL L-1'!$E$4,Tablas!$B$1:$B$181,Flujos!J55+1,FALSE)</f>
        <v>0</v>
      </c>
      <c r="D55" s="68">
        <f t="shared" si="2"/>
        <v>0</v>
      </c>
      <c r="E55" s="69">
        <f t="shared" si="3"/>
        <v>0</v>
      </c>
      <c r="F55" s="69">
        <f>ROUND(D54*ROUND(((1+'CALCULADORA TIL L-1'!$C$14)^(1/12)-1),6),6)</f>
        <v>0</v>
      </c>
      <c r="G55" s="69">
        <f t="shared" si="4"/>
        <v>0</v>
      </c>
      <c r="H55" s="70">
        <f>IF($B55=0,0,G55/POWER(1+'CALCULADORA TIL L-1'!$F$11,Flujos!$B55/365))</f>
        <v>0</v>
      </c>
      <c r="I55" s="71">
        <f t="shared" si="1"/>
        <v>43878</v>
      </c>
      <c r="J55" s="72">
        <v>53</v>
      </c>
      <c r="K55" s="73">
        <f t="shared" si="5"/>
        <v>1613</v>
      </c>
      <c r="L55" s="48">
        <f t="shared" si="6"/>
        <v>3.004E-05</v>
      </c>
      <c r="M55" s="74">
        <f t="shared" si="7"/>
        <v>0</v>
      </c>
      <c r="N55" s="74">
        <f t="shared" si="8"/>
        <v>1.6984616E-07</v>
      </c>
      <c r="O55" s="75">
        <f t="shared" si="9"/>
        <v>1.6984616E-07</v>
      </c>
    </row>
    <row r="56" spans="1:15" ht="12.75">
      <c r="A56" s="39">
        <f t="shared" si="0"/>
        <v>43907</v>
      </c>
      <c r="B56" s="67">
        <f>IF(DIAS365('CALCULADORA TIL L-1'!$E$6,A56)&lt;0,0,DIAS365('CALCULADORA TIL L-1'!$E$6,A56))</f>
        <v>637</v>
      </c>
      <c r="C56" s="41">
        <f>+HLOOKUP('CALCULADORA TIL L-1'!$E$4,Tablas!$B$1:$B$181,Flujos!J56+1,FALSE)</f>
        <v>0</v>
      </c>
      <c r="D56" s="68">
        <f t="shared" si="2"/>
        <v>0</v>
      </c>
      <c r="E56" s="69">
        <f t="shared" si="3"/>
        <v>0</v>
      </c>
      <c r="F56" s="69">
        <f>ROUND(D55*ROUND(((1+'CALCULADORA TIL L-1'!$C$14)^(1/12)-1),6),6)</f>
        <v>0</v>
      </c>
      <c r="G56" s="69">
        <f t="shared" si="4"/>
        <v>0</v>
      </c>
      <c r="H56" s="70">
        <f>IF($B56=0,0,G56/POWER(1+'CALCULADORA TIL L-1'!$F$11,Flujos!$B56/365))</f>
        <v>0</v>
      </c>
      <c r="I56" s="71">
        <f t="shared" si="1"/>
        <v>43907</v>
      </c>
      <c r="J56" s="72">
        <v>54</v>
      </c>
      <c r="K56" s="73">
        <f t="shared" si="5"/>
        <v>1641</v>
      </c>
      <c r="L56" s="48">
        <f t="shared" si="6"/>
        <v>3.004E-05</v>
      </c>
      <c r="M56" s="74">
        <f t="shared" si="7"/>
        <v>0</v>
      </c>
      <c r="N56" s="74">
        <f t="shared" si="8"/>
        <v>1.6984616E-07</v>
      </c>
      <c r="O56" s="75">
        <f t="shared" si="9"/>
        <v>1.6984616E-07</v>
      </c>
    </row>
    <row r="57" spans="1:15" ht="12.75">
      <c r="A57" s="39">
        <f t="shared" si="0"/>
        <v>43938</v>
      </c>
      <c r="B57" s="67">
        <f>IF(DIAS365('CALCULADORA TIL L-1'!$E$6,A57)&lt;0,0,DIAS365('CALCULADORA TIL L-1'!$E$6,A57))</f>
        <v>668</v>
      </c>
      <c r="C57" s="41">
        <f>+HLOOKUP('CALCULADORA TIL L-1'!$E$4,Tablas!$B$1:$B$181,Flujos!J57+1,FALSE)</f>
        <v>0</v>
      </c>
      <c r="D57" s="68">
        <f t="shared" si="2"/>
        <v>0</v>
      </c>
      <c r="E57" s="69">
        <f t="shared" si="3"/>
        <v>0</v>
      </c>
      <c r="F57" s="69">
        <f>ROUND(D56*ROUND(((1+'CALCULADORA TIL L-1'!$C$14)^(1/12)-1),6),6)</f>
        <v>0</v>
      </c>
      <c r="G57" s="69">
        <f t="shared" si="4"/>
        <v>0</v>
      </c>
      <c r="H57" s="70">
        <f>IF($B57=0,0,G57/POWER(1+'CALCULADORA TIL L-1'!$F$11,Flujos!$B57/365))</f>
        <v>0</v>
      </c>
      <c r="I57" s="71">
        <f t="shared" si="1"/>
        <v>43938</v>
      </c>
      <c r="J57" s="72">
        <v>55</v>
      </c>
      <c r="K57" s="73">
        <f t="shared" si="5"/>
        <v>1672</v>
      </c>
      <c r="L57" s="48">
        <f t="shared" si="6"/>
        <v>3.004E-05</v>
      </c>
      <c r="M57" s="74">
        <f t="shared" si="7"/>
        <v>0</v>
      </c>
      <c r="N57" s="74">
        <f t="shared" si="8"/>
        <v>1.6984616E-07</v>
      </c>
      <c r="O57" s="75">
        <f t="shared" si="9"/>
        <v>1.6984616E-07</v>
      </c>
    </row>
    <row r="58" spans="1:15" ht="12.75">
      <c r="A58" s="39">
        <f t="shared" si="0"/>
        <v>43968</v>
      </c>
      <c r="B58" s="67">
        <f>IF(DIAS365('CALCULADORA TIL L-1'!$E$6,A58)&lt;0,0,DIAS365('CALCULADORA TIL L-1'!$E$6,A58))</f>
        <v>698</v>
      </c>
      <c r="C58" s="41">
        <f>+HLOOKUP('CALCULADORA TIL L-1'!$E$4,Tablas!$B$1:$B$181,Flujos!J58+1,FALSE)</f>
        <v>0</v>
      </c>
      <c r="D58" s="68">
        <f t="shared" si="2"/>
        <v>0</v>
      </c>
      <c r="E58" s="69">
        <f t="shared" si="3"/>
        <v>0</v>
      </c>
      <c r="F58" s="69">
        <f>ROUND(D57*ROUND(((1+'CALCULADORA TIL L-1'!$C$14)^(1/12)-1),6),6)</f>
        <v>0</v>
      </c>
      <c r="G58" s="69">
        <f t="shared" si="4"/>
        <v>0</v>
      </c>
      <c r="H58" s="70">
        <f>IF($B58=0,0,G58/POWER(1+'CALCULADORA TIL L-1'!$F$11,Flujos!$B58/365))</f>
        <v>0</v>
      </c>
      <c r="I58" s="71">
        <f t="shared" si="1"/>
        <v>43968</v>
      </c>
      <c r="J58" s="72">
        <v>56</v>
      </c>
      <c r="K58" s="73">
        <f t="shared" si="5"/>
        <v>1702</v>
      </c>
      <c r="L58" s="48">
        <f t="shared" si="6"/>
        <v>3.004E-05</v>
      </c>
      <c r="M58" s="74">
        <f t="shared" si="7"/>
        <v>0</v>
      </c>
      <c r="N58" s="74">
        <f t="shared" si="8"/>
        <v>1.6984616E-07</v>
      </c>
      <c r="O58" s="75">
        <f t="shared" si="9"/>
        <v>1.6984616E-07</v>
      </c>
    </row>
    <row r="59" spans="1:15" ht="12.75">
      <c r="A59" s="39">
        <f t="shared" si="0"/>
        <v>43999</v>
      </c>
      <c r="B59" s="67">
        <f>IF(DIAS365('CALCULADORA TIL L-1'!$E$6,A59)&lt;0,0,DIAS365('CALCULADORA TIL L-1'!$E$6,A59))</f>
        <v>729</v>
      </c>
      <c r="C59" s="41">
        <f>+HLOOKUP('CALCULADORA TIL L-1'!$E$4,Tablas!$B$1:$B$181,Flujos!J59+1,FALSE)</f>
        <v>0</v>
      </c>
      <c r="D59" s="68">
        <f t="shared" si="2"/>
        <v>0</v>
      </c>
      <c r="E59" s="69">
        <f t="shared" si="3"/>
        <v>0</v>
      </c>
      <c r="F59" s="69">
        <f>ROUND(D58*ROUND(((1+'CALCULADORA TIL L-1'!$C$14)^(1/12)-1),6),6)</f>
        <v>0</v>
      </c>
      <c r="G59" s="69">
        <f t="shared" si="4"/>
        <v>0</v>
      </c>
      <c r="H59" s="70">
        <f>IF($B59=0,0,G59/POWER(1+'CALCULADORA TIL L-1'!$F$11,Flujos!$B59/365))</f>
        <v>0</v>
      </c>
      <c r="I59" s="71">
        <f t="shared" si="1"/>
        <v>43999</v>
      </c>
      <c r="J59" s="72">
        <v>57</v>
      </c>
      <c r="K59" s="73">
        <f t="shared" si="5"/>
        <v>1733</v>
      </c>
      <c r="L59" s="48">
        <f t="shared" si="6"/>
        <v>3.004E-05</v>
      </c>
      <c r="M59" s="74">
        <f t="shared" si="7"/>
        <v>0</v>
      </c>
      <c r="N59" s="74">
        <f t="shared" si="8"/>
        <v>1.6984616E-07</v>
      </c>
      <c r="O59" s="75">
        <f t="shared" si="9"/>
        <v>1.6984616E-07</v>
      </c>
    </row>
    <row r="60" spans="1:15" ht="12.75">
      <c r="A60" s="39">
        <f t="shared" si="0"/>
        <v>44029</v>
      </c>
      <c r="B60" s="67">
        <f>IF(DIAS365('CALCULADORA TIL L-1'!$E$6,A60)&lt;0,0,DIAS365('CALCULADORA TIL L-1'!$E$6,A60))</f>
        <v>759</v>
      </c>
      <c r="C60" s="41">
        <f>+HLOOKUP('CALCULADORA TIL L-1'!$E$4,Tablas!$B$1:$B$181,Flujos!J60+1,FALSE)</f>
        <v>0</v>
      </c>
      <c r="D60" s="68">
        <f t="shared" si="2"/>
        <v>0</v>
      </c>
      <c r="E60" s="69">
        <f t="shared" si="3"/>
        <v>0</v>
      </c>
      <c r="F60" s="69">
        <f>ROUND(D59*ROUND(((1+'CALCULADORA TIL L-1'!$C$14)^(1/12)-1),6),6)</f>
        <v>0</v>
      </c>
      <c r="G60" s="69">
        <f t="shared" si="4"/>
        <v>0</v>
      </c>
      <c r="H60" s="70">
        <f>IF($B60=0,0,G60/POWER(1+'CALCULADORA TIL L-1'!$F$11,Flujos!$B60/365))</f>
        <v>0</v>
      </c>
      <c r="I60" s="71">
        <f t="shared" si="1"/>
        <v>44029</v>
      </c>
      <c r="J60" s="72">
        <v>58</v>
      </c>
      <c r="K60" s="73">
        <f t="shared" si="5"/>
        <v>1763</v>
      </c>
      <c r="L60" s="48">
        <f t="shared" si="6"/>
        <v>3.004E-05</v>
      </c>
      <c r="M60" s="74">
        <f t="shared" si="7"/>
        <v>0</v>
      </c>
      <c r="N60" s="74">
        <f t="shared" si="8"/>
        <v>1.6984616E-07</v>
      </c>
      <c r="O60" s="75">
        <f t="shared" si="9"/>
        <v>1.6984616E-07</v>
      </c>
    </row>
    <row r="61" spans="1:15" ht="12.75">
      <c r="A61" s="39">
        <f t="shared" si="0"/>
        <v>44060</v>
      </c>
      <c r="B61" s="67">
        <f>IF(DIAS365('CALCULADORA TIL L-1'!$E$6,A61)&lt;0,0,DIAS365('CALCULADORA TIL L-1'!$E$6,A61))</f>
        <v>790</v>
      </c>
      <c r="C61" s="41">
        <f>+HLOOKUP('CALCULADORA TIL L-1'!$E$4,Tablas!$B$1:$B$181,Flujos!J61+1,FALSE)</f>
        <v>0</v>
      </c>
      <c r="D61" s="68">
        <f t="shared" si="2"/>
        <v>0</v>
      </c>
      <c r="E61" s="69">
        <f t="shared" si="3"/>
        <v>0</v>
      </c>
      <c r="F61" s="69">
        <f>ROUND(D60*ROUND(((1+'CALCULADORA TIL L-1'!$C$14)^(1/12)-1),6),6)</f>
        <v>0</v>
      </c>
      <c r="G61" s="69">
        <f t="shared" si="4"/>
        <v>0</v>
      </c>
      <c r="H61" s="70">
        <f>IF($B61=0,0,G61/POWER(1+'CALCULADORA TIL L-1'!$F$11,Flujos!$B61/365))</f>
        <v>0</v>
      </c>
      <c r="I61" s="71">
        <f t="shared" si="1"/>
        <v>44060</v>
      </c>
      <c r="J61" s="72">
        <v>59</v>
      </c>
      <c r="K61" s="73">
        <f t="shared" si="5"/>
        <v>1794</v>
      </c>
      <c r="L61" s="48">
        <f t="shared" si="6"/>
        <v>3.004E-05</v>
      </c>
      <c r="M61" s="74">
        <f t="shared" si="7"/>
        <v>0</v>
      </c>
      <c r="N61" s="74">
        <f t="shared" si="8"/>
        <v>1.6984616E-07</v>
      </c>
      <c r="O61" s="75">
        <f t="shared" si="9"/>
        <v>1.6984616E-07</v>
      </c>
    </row>
    <row r="62" spans="1:15" ht="12.75">
      <c r="A62" s="39">
        <f t="shared" si="0"/>
        <v>44091</v>
      </c>
      <c r="B62" s="67">
        <f>IF(DIAS365('CALCULADORA TIL L-1'!$E$6,A62)&lt;0,0,DIAS365('CALCULADORA TIL L-1'!$E$6,A62))</f>
        <v>821</v>
      </c>
      <c r="C62" s="41">
        <f>+HLOOKUP('CALCULADORA TIL L-1'!$E$4,Tablas!$B$1:$B$181,Flujos!J62+1,FALSE)</f>
        <v>0</v>
      </c>
      <c r="D62" s="68">
        <f t="shared" si="2"/>
        <v>0</v>
      </c>
      <c r="E62" s="69">
        <f t="shared" si="3"/>
        <v>0</v>
      </c>
      <c r="F62" s="69">
        <f>ROUND(D61*ROUND(((1+'CALCULADORA TIL L-1'!$C$14)^(1/12)-1),6),6)</f>
        <v>0</v>
      </c>
      <c r="G62" s="69">
        <f t="shared" si="4"/>
        <v>0</v>
      </c>
      <c r="H62" s="70">
        <f>IF($B62=0,0,G62/POWER(1+'CALCULADORA TIL L-1'!$F$11,Flujos!$B62/365))</f>
        <v>0</v>
      </c>
      <c r="I62" s="71">
        <f t="shared" si="1"/>
        <v>44091</v>
      </c>
      <c r="J62" s="72">
        <v>60</v>
      </c>
      <c r="K62" s="73">
        <f t="shared" si="5"/>
        <v>1825</v>
      </c>
      <c r="L62" s="48">
        <f t="shared" si="6"/>
        <v>3.004E-05</v>
      </c>
      <c r="M62" s="74">
        <f t="shared" si="7"/>
        <v>0</v>
      </c>
      <c r="N62" s="74">
        <f t="shared" si="8"/>
        <v>1.6984616E-07</v>
      </c>
      <c r="O62" s="75">
        <f t="shared" si="9"/>
        <v>1.6984616E-07</v>
      </c>
    </row>
    <row r="63" spans="1:15" ht="12.75">
      <c r="A63" s="39">
        <f t="shared" si="0"/>
        <v>44121</v>
      </c>
      <c r="B63" s="67">
        <f>IF(DIAS365('CALCULADORA TIL L-1'!$E$6,A63)&lt;0,0,DIAS365('CALCULADORA TIL L-1'!$E$6,A63))</f>
        <v>851</v>
      </c>
      <c r="C63" s="41">
        <f>+HLOOKUP('CALCULADORA TIL L-1'!$E$4,Tablas!$B$1:$B$181,Flujos!J63+1,FALSE)</f>
        <v>0</v>
      </c>
      <c r="D63" s="68">
        <f t="shared" si="2"/>
        <v>0</v>
      </c>
      <c r="E63" s="69">
        <f t="shared" si="3"/>
        <v>0</v>
      </c>
      <c r="F63" s="69">
        <f>ROUND(D62*ROUND(((1+'CALCULADORA TIL L-1'!$C$14)^(1/12)-1),6),6)</f>
        <v>0</v>
      </c>
      <c r="G63" s="69">
        <f t="shared" si="4"/>
        <v>0</v>
      </c>
      <c r="H63" s="70">
        <f>IF($B63=0,0,G63/POWER(1+'CALCULADORA TIL L-1'!$F$11,Flujos!$B63/365))</f>
        <v>0</v>
      </c>
      <c r="I63" s="71">
        <f t="shared" si="1"/>
        <v>44121</v>
      </c>
      <c r="J63" s="72">
        <v>61</v>
      </c>
      <c r="K63" s="73">
        <f t="shared" si="5"/>
        <v>1855</v>
      </c>
      <c r="L63" s="48">
        <f t="shared" si="6"/>
        <v>3.004E-05</v>
      </c>
      <c r="M63" s="74">
        <f t="shared" si="7"/>
        <v>0</v>
      </c>
      <c r="N63" s="74">
        <f t="shared" si="8"/>
        <v>1.6984616E-07</v>
      </c>
      <c r="O63" s="75">
        <f t="shared" si="9"/>
        <v>1.6984616E-07</v>
      </c>
    </row>
    <row r="64" spans="1:15" ht="12.75">
      <c r="A64" s="39">
        <f t="shared" si="0"/>
        <v>44152</v>
      </c>
      <c r="B64" s="67">
        <f>IF(DIAS365('CALCULADORA TIL L-1'!$E$6,A64)&lt;0,0,DIAS365('CALCULADORA TIL L-1'!$E$6,A64))</f>
        <v>882</v>
      </c>
      <c r="C64" s="41">
        <f>+HLOOKUP('CALCULADORA TIL L-1'!$E$4,Tablas!$B$1:$B$181,Flujos!J64+1,FALSE)</f>
        <v>0</v>
      </c>
      <c r="D64" s="68">
        <f t="shared" si="2"/>
        <v>0</v>
      </c>
      <c r="E64" s="69">
        <f t="shared" si="3"/>
        <v>0</v>
      </c>
      <c r="F64" s="69">
        <f>ROUND(D63*ROUND(((1+'CALCULADORA TIL L-1'!$C$14)^(1/12)-1),6),6)</f>
        <v>0</v>
      </c>
      <c r="G64" s="69">
        <f t="shared" si="4"/>
        <v>0</v>
      </c>
      <c r="H64" s="70">
        <f>IF($B64=0,0,G64/POWER(1+'CALCULADORA TIL L-1'!$F$11,Flujos!$B64/365))</f>
        <v>0</v>
      </c>
      <c r="I64" s="71">
        <f t="shared" si="1"/>
        <v>44152</v>
      </c>
      <c r="J64" s="72">
        <v>62</v>
      </c>
      <c r="K64" s="73">
        <f t="shared" si="5"/>
        <v>1886</v>
      </c>
      <c r="L64" s="48">
        <f t="shared" si="6"/>
        <v>3.004E-05</v>
      </c>
      <c r="M64" s="74">
        <f t="shared" si="7"/>
        <v>0</v>
      </c>
      <c r="N64" s="74">
        <f t="shared" si="8"/>
        <v>1.6984616E-07</v>
      </c>
      <c r="O64" s="75">
        <f t="shared" si="9"/>
        <v>1.6984616E-07</v>
      </c>
    </row>
    <row r="65" spans="1:15" ht="12.75">
      <c r="A65" s="39">
        <f t="shared" si="0"/>
        <v>44182</v>
      </c>
      <c r="B65" s="67">
        <f>IF(DIAS365('CALCULADORA TIL L-1'!$E$6,A65)&lt;0,0,DIAS365('CALCULADORA TIL L-1'!$E$6,A65))</f>
        <v>912</v>
      </c>
      <c r="C65" s="41">
        <f>+HLOOKUP('CALCULADORA TIL L-1'!$E$4,Tablas!$B$1:$B$181,Flujos!J65+1,FALSE)</f>
        <v>0</v>
      </c>
      <c r="D65" s="68">
        <f t="shared" si="2"/>
        <v>0</v>
      </c>
      <c r="E65" s="69">
        <f t="shared" si="3"/>
        <v>0</v>
      </c>
      <c r="F65" s="69">
        <f>ROUND(D64*ROUND(((1+'CALCULADORA TIL L-1'!$C$14)^(1/12)-1),6),6)</f>
        <v>0</v>
      </c>
      <c r="G65" s="69">
        <f t="shared" si="4"/>
        <v>0</v>
      </c>
      <c r="H65" s="70">
        <f>IF($B65=0,0,G65/POWER(1+'CALCULADORA TIL L-1'!$F$11,Flujos!$B65/365))</f>
        <v>0</v>
      </c>
      <c r="I65" s="71">
        <f t="shared" si="1"/>
        <v>44182</v>
      </c>
      <c r="J65" s="72">
        <v>63</v>
      </c>
      <c r="K65" s="73">
        <f t="shared" si="5"/>
        <v>1916</v>
      </c>
      <c r="L65" s="48">
        <f t="shared" si="6"/>
        <v>3.004E-05</v>
      </c>
      <c r="M65" s="74">
        <f t="shared" si="7"/>
        <v>0</v>
      </c>
      <c r="N65" s="74">
        <f t="shared" si="8"/>
        <v>1.6984616E-07</v>
      </c>
      <c r="O65" s="75">
        <f t="shared" si="9"/>
        <v>1.6984616E-07</v>
      </c>
    </row>
    <row r="66" spans="1:15" ht="12.75">
      <c r="A66" s="39">
        <f t="shared" si="0"/>
        <v>44213</v>
      </c>
      <c r="B66" s="67">
        <f>IF(DIAS365('CALCULADORA TIL L-1'!$E$6,A66)&lt;0,0,DIAS365('CALCULADORA TIL L-1'!$E$6,A66))</f>
        <v>943</v>
      </c>
      <c r="C66" s="41">
        <f>+HLOOKUP('CALCULADORA TIL L-1'!$E$4,Tablas!$B$1:$B$181,Flujos!J66+1,FALSE)</f>
        <v>0</v>
      </c>
      <c r="D66" s="68">
        <f t="shared" si="2"/>
        <v>0</v>
      </c>
      <c r="E66" s="69">
        <f t="shared" si="3"/>
        <v>0</v>
      </c>
      <c r="F66" s="69">
        <f>ROUND(D65*ROUND(((1+'CALCULADORA TIL L-1'!$C$14)^(1/12)-1),6),6)</f>
        <v>0</v>
      </c>
      <c r="G66" s="69">
        <f t="shared" si="4"/>
        <v>0</v>
      </c>
      <c r="H66" s="70">
        <f>IF($B66=0,0,G66/POWER(1+'CALCULADORA TIL L-1'!$F$11,Flujos!$B66/365))</f>
        <v>0</v>
      </c>
      <c r="I66" s="71">
        <f t="shared" si="1"/>
        <v>44213</v>
      </c>
      <c r="J66" s="72">
        <v>64</v>
      </c>
      <c r="K66" s="73">
        <f t="shared" si="5"/>
        <v>1947</v>
      </c>
      <c r="L66" s="48">
        <f t="shared" si="6"/>
        <v>3.004E-05</v>
      </c>
      <c r="M66" s="74">
        <f t="shared" si="7"/>
        <v>0</v>
      </c>
      <c r="N66" s="74">
        <f t="shared" si="8"/>
        <v>1.6984616E-07</v>
      </c>
      <c r="O66" s="75">
        <f t="shared" si="9"/>
        <v>1.6984616E-07</v>
      </c>
    </row>
    <row r="67" spans="1:15" ht="12.75">
      <c r="A67" s="39">
        <f aca="true" t="shared" si="10" ref="A67:A130">_XLL.FECHA.MES(A66,1)</f>
        <v>44244</v>
      </c>
      <c r="B67" s="67">
        <f>IF(DIAS365('CALCULADORA TIL L-1'!$E$6,A67)&lt;0,0,DIAS365('CALCULADORA TIL L-1'!$E$6,A67))</f>
        <v>974</v>
      </c>
      <c r="C67" s="41">
        <f>+HLOOKUP('CALCULADORA TIL L-1'!$E$4,Tablas!$B$1:$B$181,Flujos!J67+1,FALSE)</f>
        <v>0</v>
      </c>
      <c r="D67" s="68">
        <f t="shared" si="2"/>
        <v>0</v>
      </c>
      <c r="E67" s="69">
        <f t="shared" si="3"/>
        <v>0</v>
      </c>
      <c r="F67" s="69">
        <f>ROUND(D66*ROUND(((1+'CALCULADORA TIL L-1'!$C$14)^(1/12)-1),6),6)</f>
        <v>0</v>
      </c>
      <c r="G67" s="69">
        <f t="shared" si="4"/>
        <v>0</v>
      </c>
      <c r="H67" s="70">
        <f>IF($B67=0,0,G67/POWER(1+'CALCULADORA TIL L-1'!$F$11,Flujos!$B67/365))</f>
        <v>0</v>
      </c>
      <c r="I67" s="71">
        <f aca="true" t="shared" si="11" ref="I67:I130">+A67</f>
        <v>44244</v>
      </c>
      <c r="J67" s="72">
        <v>65</v>
      </c>
      <c r="K67" s="73">
        <f t="shared" si="5"/>
        <v>1978</v>
      </c>
      <c r="L67" s="48">
        <f t="shared" si="6"/>
        <v>3.004E-05</v>
      </c>
      <c r="M67" s="74">
        <f t="shared" si="7"/>
        <v>0</v>
      </c>
      <c r="N67" s="74">
        <f t="shared" si="8"/>
        <v>1.6984616E-07</v>
      </c>
      <c r="O67" s="75">
        <f t="shared" si="9"/>
        <v>1.6984616E-07</v>
      </c>
    </row>
    <row r="68" spans="1:15" ht="12.75">
      <c r="A68" s="39">
        <f t="shared" si="10"/>
        <v>44272</v>
      </c>
      <c r="B68" s="67">
        <f>IF(DIAS365('CALCULADORA TIL L-1'!$E$6,A68)&lt;0,0,DIAS365('CALCULADORA TIL L-1'!$E$6,A68))</f>
        <v>1002</v>
      </c>
      <c r="C68" s="41">
        <f>+HLOOKUP('CALCULADORA TIL L-1'!$E$4,Tablas!$B$1:$B$181,Flujos!J68+1,FALSE)</f>
        <v>0</v>
      </c>
      <c r="D68" s="68">
        <f aca="true" t="shared" si="12" ref="D68:D131">+ROUND(D67-E68,6)</f>
        <v>0</v>
      </c>
      <c r="E68" s="69">
        <f aca="true" t="shared" si="13" ref="E68:E131">ROUND(C68*$D$2,6)</f>
        <v>0</v>
      </c>
      <c r="F68" s="69">
        <f>ROUND(D67*ROUND(((1+'CALCULADORA TIL L-1'!$C$14)^(1/12)-1),6),6)</f>
        <v>0</v>
      </c>
      <c r="G68" s="69">
        <f aca="true" t="shared" si="14" ref="G68:G131">F68+E68</f>
        <v>0</v>
      </c>
      <c r="H68" s="70">
        <f>IF($B68=0,0,G68/POWER(1+'CALCULADORA TIL L-1'!$F$11,Flujos!$B68/365))</f>
        <v>0</v>
      </c>
      <c r="I68" s="71">
        <f t="shared" si="11"/>
        <v>44272</v>
      </c>
      <c r="J68" s="72">
        <v>66</v>
      </c>
      <c r="K68" s="73">
        <f aca="true" t="shared" si="15" ref="K68:K131">+DIAS365($A$2,A68)</f>
        <v>2006</v>
      </c>
      <c r="L68" s="48">
        <f aca="true" t="shared" si="16" ref="L68:L131">ROUND(L67-M68,8)</f>
        <v>3.004E-05</v>
      </c>
      <c r="M68" s="74">
        <f aca="true" t="shared" si="17" ref="M68:M131">+$L$2*C68</f>
        <v>0</v>
      </c>
      <c r="N68" s="74">
        <f aca="true" t="shared" si="18" ref="N68:N131">+L67*$F$3%</f>
        <v>1.6984616E-07</v>
      </c>
      <c r="O68" s="75">
        <f aca="true" t="shared" si="19" ref="O68:O131">+N68+M68</f>
        <v>1.6984616E-07</v>
      </c>
    </row>
    <row r="69" spans="1:15" ht="12.75">
      <c r="A69" s="39">
        <f t="shared" si="10"/>
        <v>44303</v>
      </c>
      <c r="B69" s="67">
        <f>IF(DIAS365('CALCULADORA TIL L-1'!$E$6,A69)&lt;0,0,DIAS365('CALCULADORA TIL L-1'!$E$6,A69))</f>
        <v>1033</v>
      </c>
      <c r="C69" s="41">
        <f>+HLOOKUP('CALCULADORA TIL L-1'!$E$4,Tablas!$B$1:$B$181,Flujos!J69+1,FALSE)</f>
        <v>0</v>
      </c>
      <c r="D69" s="68">
        <f t="shared" si="12"/>
        <v>0</v>
      </c>
      <c r="E69" s="69">
        <f t="shared" si="13"/>
        <v>0</v>
      </c>
      <c r="F69" s="69">
        <f>ROUND(D68*ROUND(((1+'CALCULADORA TIL L-1'!$C$14)^(1/12)-1),6),6)</f>
        <v>0</v>
      </c>
      <c r="G69" s="69">
        <f t="shared" si="14"/>
        <v>0</v>
      </c>
      <c r="H69" s="70">
        <f>IF($B69=0,0,G69/POWER(1+'CALCULADORA TIL L-1'!$F$11,Flujos!$B69/365))</f>
        <v>0</v>
      </c>
      <c r="I69" s="71">
        <f t="shared" si="11"/>
        <v>44303</v>
      </c>
      <c r="J69" s="72">
        <v>67</v>
      </c>
      <c r="K69" s="73">
        <f t="shared" si="15"/>
        <v>2037</v>
      </c>
      <c r="L69" s="48">
        <f t="shared" si="16"/>
        <v>3.004E-05</v>
      </c>
      <c r="M69" s="74">
        <f t="shared" si="17"/>
        <v>0</v>
      </c>
      <c r="N69" s="74">
        <f t="shared" si="18"/>
        <v>1.6984616E-07</v>
      </c>
      <c r="O69" s="75">
        <f t="shared" si="19"/>
        <v>1.6984616E-07</v>
      </c>
    </row>
    <row r="70" spans="1:15" ht="12.75">
      <c r="A70" s="39">
        <f t="shared" si="10"/>
        <v>44333</v>
      </c>
      <c r="B70" s="67">
        <f>IF(DIAS365('CALCULADORA TIL L-1'!$E$6,A70)&lt;0,0,DIAS365('CALCULADORA TIL L-1'!$E$6,A70))</f>
        <v>1063</v>
      </c>
      <c r="C70" s="41">
        <f>+HLOOKUP('CALCULADORA TIL L-1'!$E$4,Tablas!$B$1:$B$181,Flujos!J70+1,FALSE)</f>
        <v>0</v>
      </c>
      <c r="D70" s="68">
        <f t="shared" si="12"/>
        <v>0</v>
      </c>
      <c r="E70" s="69">
        <f t="shared" si="13"/>
        <v>0</v>
      </c>
      <c r="F70" s="69">
        <f>ROUND(D69*ROUND(((1+'CALCULADORA TIL L-1'!$C$14)^(1/12)-1),6),6)</f>
        <v>0</v>
      </c>
      <c r="G70" s="69">
        <f t="shared" si="14"/>
        <v>0</v>
      </c>
      <c r="H70" s="70">
        <f>IF($B70=0,0,G70/POWER(1+'CALCULADORA TIL L-1'!$F$11,Flujos!$B70/365))</f>
        <v>0</v>
      </c>
      <c r="I70" s="71">
        <f t="shared" si="11"/>
        <v>44333</v>
      </c>
      <c r="J70" s="72">
        <v>68</v>
      </c>
      <c r="K70" s="73">
        <f t="shared" si="15"/>
        <v>2067</v>
      </c>
      <c r="L70" s="48">
        <f t="shared" si="16"/>
        <v>3.004E-05</v>
      </c>
      <c r="M70" s="74">
        <f t="shared" si="17"/>
        <v>0</v>
      </c>
      <c r="N70" s="74">
        <f t="shared" si="18"/>
        <v>1.6984616E-07</v>
      </c>
      <c r="O70" s="75">
        <f t="shared" si="19"/>
        <v>1.6984616E-07</v>
      </c>
    </row>
    <row r="71" spans="1:15" ht="12.75">
      <c r="A71" s="39">
        <f t="shared" si="10"/>
        <v>44364</v>
      </c>
      <c r="B71" s="67">
        <f>IF(DIAS365('CALCULADORA TIL L-1'!$E$6,A71)&lt;0,0,DIAS365('CALCULADORA TIL L-1'!$E$6,A71))</f>
        <v>1094</v>
      </c>
      <c r="C71" s="41">
        <f>+HLOOKUP('CALCULADORA TIL L-1'!$E$4,Tablas!$B$1:$B$181,Flujos!J71+1,FALSE)</f>
        <v>0</v>
      </c>
      <c r="D71" s="68">
        <f t="shared" si="12"/>
        <v>0</v>
      </c>
      <c r="E71" s="69">
        <f t="shared" si="13"/>
        <v>0</v>
      </c>
      <c r="F71" s="69">
        <f>ROUND(D70*ROUND(((1+'CALCULADORA TIL L-1'!$C$14)^(1/12)-1),6),6)</f>
        <v>0</v>
      </c>
      <c r="G71" s="69">
        <f t="shared" si="14"/>
        <v>0</v>
      </c>
      <c r="H71" s="70">
        <f>IF($B71=0,0,G71/POWER(1+'CALCULADORA TIL L-1'!$F$11,Flujos!$B71/365))</f>
        <v>0</v>
      </c>
      <c r="I71" s="71">
        <f t="shared" si="11"/>
        <v>44364</v>
      </c>
      <c r="J71" s="72">
        <v>69</v>
      </c>
      <c r="K71" s="73">
        <f t="shared" si="15"/>
        <v>2098</v>
      </c>
      <c r="L71" s="48">
        <f t="shared" si="16"/>
        <v>3.004E-05</v>
      </c>
      <c r="M71" s="74">
        <f t="shared" si="17"/>
        <v>0</v>
      </c>
      <c r="N71" s="74">
        <f t="shared" si="18"/>
        <v>1.6984616E-07</v>
      </c>
      <c r="O71" s="75">
        <f t="shared" si="19"/>
        <v>1.6984616E-07</v>
      </c>
    </row>
    <row r="72" spans="1:15" ht="12.75">
      <c r="A72" s="39">
        <f t="shared" si="10"/>
        <v>44394</v>
      </c>
      <c r="B72" s="67">
        <f>IF(DIAS365('CALCULADORA TIL L-1'!$E$6,A72)&lt;0,0,DIAS365('CALCULADORA TIL L-1'!$E$6,A72))</f>
        <v>1124</v>
      </c>
      <c r="C72" s="41">
        <f>+HLOOKUP('CALCULADORA TIL L-1'!$E$4,Tablas!$B$1:$B$181,Flujos!J72+1,FALSE)</f>
        <v>0</v>
      </c>
      <c r="D72" s="68">
        <f t="shared" si="12"/>
        <v>0</v>
      </c>
      <c r="E72" s="69">
        <f t="shared" si="13"/>
        <v>0</v>
      </c>
      <c r="F72" s="69">
        <f>ROUND(D71*ROUND(((1+'CALCULADORA TIL L-1'!$C$14)^(1/12)-1),6),6)</f>
        <v>0</v>
      </c>
      <c r="G72" s="69">
        <f t="shared" si="14"/>
        <v>0</v>
      </c>
      <c r="H72" s="70">
        <f>IF($B72=0,0,G72/POWER(1+'CALCULADORA TIL L-1'!$F$11,Flujos!$B72/365))</f>
        <v>0</v>
      </c>
      <c r="I72" s="71">
        <f t="shared" si="11"/>
        <v>44394</v>
      </c>
      <c r="J72" s="72">
        <v>70</v>
      </c>
      <c r="K72" s="73">
        <f t="shared" si="15"/>
        <v>2128</v>
      </c>
      <c r="L72" s="48">
        <f t="shared" si="16"/>
        <v>3.004E-05</v>
      </c>
      <c r="M72" s="74">
        <f t="shared" si="17"/>
        <v>0</v>
      </c>
      <c r="N72" s="74">
        <f t="shared" si="18"/>
        <v>1.6984616E-07</v>
      </c>
      <c r="O72" s="75">
        <f t="shared" si="19"/>
        <v>1.6984616E-07</v>
      </c>
    </row>
    <row r="73" spans="1:15" ht="12.75">
      <c r="A73" s="39">
        <f t="shared" si="10"/>
        <v>44425</v>
      </c>
      <c r="B73" s="67">
        <f>IF(DIAS365('CALCULADORA TIL L-1'!$E$6,A73)&lt;0,0,DIAS365('CALCULADORA TIL L-1'!$E$6,A73))</f>
        <v>1155</v>
      </c>
      <c r="C73" s="41">
        <f>+HLOOKUP('CALCULADORA TIL L-1'!$E$4,Tablas!$B$1:$B$181,Flujos!J73+1,FALSE)</f>
        <v>0</v>
      </c>
      <c r="D73" s="68">
        <f t="shared" si="12"/>
        <v>0</v>
      </c>
      <c r="E73" s="69">
        <f t="shared" si="13"/>
        <v>0</v>
      </c>
      <c r="F73" s="69">
        <f>ROUND(D72*ROUND(((1+'CALCULADORA TIL L-1'!$C$14)^(1/12)-1),6),6)</f>
        <v>0</v>
      </c>
      <c r="G73" s="69">
        <f t="shared" si="14"/>
        <v>0</v>
      </c>
      <c r="H73" s="70">
        <f>IF($B73=0,0,G73/POWER(1+'CALCULADORA TIL L-1'!$F$11,Flujos!$B73/365))</f>
        <v>0</v>
      </c>
      <c r="I73" s="71">
        <f t="shared" si="11"/>
        <v>44425</v>
      </c>
      <c r="J73" s="72">
        <v>71</v>
      </c>
      <c r="K73" s="73">
        <f t="shared" si="15"/>
        <v>2159</v>
      </c>
      <c r="L73" s="48">
        <f t="shared" si="16"/>
        <v>3.004E-05</v>
      </c>
      <c r="M73" s="74">
        <f t="shared" si="17"/>
        <v>0</v>
      </c>
      <c r="N73" s="74">
        <f t="shared" si="18"/>
        <v>1.6984616E-07</v>
      </c>
      <c r="O73" s="75">
        <f t="shared" si="19"/>
        <v>1.6984616E-07</v>
      </c>
    </row>
    <row r="74" spans="1:15" ht="12.75">
      <c r="A74" s="39">
        <f t="shared" si="10"/>
        <v>44456</v>
      </c>
      <c r="B74" s="67">
        <f>IF(DIAS365('CALCULADORA TIL L-1'!$E$6,A74)&lt;0,0,DIAS365('CALCULADORA TIL L-1'!$E$6,A74))</f>
        <v>1186</v>
      </c>
      <c r="C74" s="41">
        <f>+HLOOKUP('CALCULADORA TIL L-1'!$E$4,Tablas!$B$1:$B$181,Flujos!J74+1,FALSE)</f>
        <v>0</v>
      </c>
      <c r="D74" s="68">
        <f t="shared" si="12"/>
        <v>0</v>
      </c>
      <c r="E74" s="69">
        <f t="shared" si="13"/>
        <v>0</v>
      </c>
      <c r="F74" s="69">
        <f>ROUND(D73*ROUND(((1+'CALCULADORA TIL L-1'!$C$14)^(1/12)-1),6),6)</f>
        <v>0</v>
      </c>
      <c r="G74" s="69">
        <f t="shared" si="14"/>
        <v>0</v>
      </c>
      <c r="H74" s="70">
        <f>IF($B74=0,0,G74/POWER(1+'CALCULADORA TIL L-1'!$F$11,Flujos!$B74/365))</f>
        <v>0</v>
      </c>
      <c r="I74" s="71">
        <f t="shared" si="11"/>
        <v>44456</v>
      </c>
      <c r="J74" s="72">
        <v>72</v>
      </c>
      <c r="K74" s="73">
        <f t="shared" si="15"/>
        <v>2190</v>
      </c>
      <c r="L74" s="48">
        <f t="shared" si="16"/>
        <v>3.004E-05</v>
      </c>
      <c r="M74" s="74">
        <f t="shared" si="17"/>
        <v>0</v>
      </c>
      <c r="N74" s="74">
        <f t="shared" si="18"/>
        <v>1.6984616E-07</v>
      </c>
      <c r="O74" s="75">
        <f t="shared" si="19"/>
        <v>1.6984616E-07</v>
      </c>
    </row>
    <row r="75" spans="1:15" ht="12.75">
      <c r="A75" s="39">
        <f t="shared" si="10"/>
        <v>44486</v>
      </c>
      <c r="B75" s="67">
        <f>IF(DIAS365('CALCULADORA TIL L-1'!$E$6,A75)&lt;0,0,DIAS365('CALCULADORA TIL L-1'!$E$6,A75))</f>
        <v>1216</v>
      </c>
      <c r="C75" s="41">
        <f>+HLOOKUP('CALCULADORA TIL L-1'!$E$4,Tablas!$B$1:$B$181,Flujos!J75+1,FALSE)</f>
        <v>0</v>
      </c>
      <c r="D75" s="68">
        <f t="shared" si="12"/>
        <v>0</v>
      </c>
      <c r="E75" s="69">
        <f t="shared" si="13"/>
        <v>0</v>
      </c>
      <c r="F75" s="69">
        <f>ROUND(D74*ROUND(((1+'CALCULADORA TIL L-1'!$C$14)^(1/12)-1),6),6)</f>
        <v>0</v>
      </c>
      <c r="G75" s="69">
        <f t="shared" si="14"/>
        <v>0</v>
      </c>
      <c r="H75" s="70">
        <f>IF($B75=0,0,G75/POWER(1+'CALCULADORA TIL L-1'!$F$11,Flujos!$B75/365))</f>
        <v>0</v>
      </c>
      <c r="I75" s="71">
        <f t="shared" si="11"/>
        <v>44486</v>
      </c>
      <c r="J75" s="72">
        <v>73</v>
      </c>
      <c r="K75" s="73">
        <f t="shared" si="15"/>
        <v>2220</v>
      </c>
      <c r="L75" s="48">
        <f t="shared" si="16"/>
        <v>3.004E-05</v>
      </c>
      <c r="M75" s="74">
        <f t="shared" si="17"/>
        <v>0</v>
      </c>
      <c r="N75" s="74">
        <f t="shared" si="18"/>
        <v>1.6984616E-07</v>
      </c>
      <c r="O75" s="75">
        <f t="shared" si="19"/>
        <v>1.6984616E-07</v>
      </c>
    </row>
    <row r="76" spans="1:15" ht="12.75">
      <c r="A76" s="39">
        <f t="shared" si="10"/>
        <v>44517</v>
      </c>
      <c r="B76" s="67">
        <f>IF(DIAS365('CALCULADORA TIL L-1'!$E$6,A76)&lt;0,0,DIAS365('CALCULADORA TIL L-1'!$E$6,A76))</f>
        <v>1247</v>
      </c>
      <c r="C76" s="41">
        <f>+HLOOKUP('CALCULADORA TIL L-1'!$E$4,Tablas!$B$1:$B$181,Flujos!J76+1,FALSE)</f>
        <v>0</v>
      </c>
      <c r="D76" s="68">
        <f t="shared" si="12"/>
        <v>0</v>
      </c>
      <c r="E76" s="69">
        <f t="shared" si="13"/>
        <v>0</v>
      </c>
      <c r="F76" s="69">
        <f>ROUND(D75*ROUND(((1+'CALCULADORA TIL L-1'!$C$14)^(1/12)-1),6),6)</f>
        <v>0</v>
      </c>
      <c r="G76" s="69">
        <f t="shared" si="14"/>
        <v>0</v>
      </c>
      <c r="H76" s="70">
        <f>IF($B76=0,0,G76/POWER(1+'CALCULADORA TIL L-1'!$F$11,Flujos!$B76/365))</f>
        <v>0</v>
      </c>
      <c r="I76" s="71">
        <f t="shared" si="11"/>
        <v>44517</v>
      </c>
      <c r="J76" s="72">
        <v>74</v>
      </c>
      <c r="K76" s="73">
        <f t="shared" si="15"/>
        <v>2251</v>
      </c>
      <c r="L76" s="48">
        <f t="shared" si="16"/>
        <v>3.004E-05</v>
      </c>
      <c r="M76" s="74">
        <f t="shared" si="17"/>
        <v>0</v>
      </c>
      <c r="N76" s="74">
        <f t="shared" si="18"/>
        <v>1.6984616E-07</v>
      </c>
      <c r="O76" s="75">
        <f t="shared" si="19"/>
        <v>1.6984616E-07</v>
      </c>
    </row>
    <row r="77" spans="1:15" ht="12.75">
      <c r="A77" s="39">
        <f t="shared" si="10"/>
        <v>44547</v>
      </c>
      <c r="B77" s="67">
        <f>IF(DIAS365('CALCULADORA TIL L-1'!$E$6,A77)&lt;0,0,DIAS365('CALCULADORA TIL L-1'!$E$6,A77))</f>
        <v>1277</v>
      </c>
      <c r="C77" s="41">
        <f>+HLOOKUP('CALCULADORA TIL L-1'!$E$4,Tablas!$B$1:$B$181,Flujos!J77+1,FALSE)</f>
        <v>0</v>
      </c>
      <c r="D77" s="68">
        <f t="shared" si="12"/>
        <v>0</v>
      </c>
      <c r="E77" s="69">
        <f t="shared" si="13"/>
        <v>0</v>
      </c>
      <c r="F77" s="69">
        <f>ROUND(D76*ROUND(((1+'CALCULADORA TIL L-1'!$C$14)^(1/12)-1),6),6)</f>
        <v>0</v>
      </c>
      <c r="G77" s="69">
        <f t="shared" si="14"/>
        <v>0</v>
      </c>
      <c r="H77" s="70">
        <f>IF($B77=0,0,G77/POWER(1+'CALCULADORA TIL L-1'!$F$11,Flujos!$B77/365))</f>
        <v>0</v>
      </c>
      <c r="I77" s="71">
        <f t="shared" si="11"/>
        <v>44547</v>
      </c>
      <c r="J77" s="72">
        <v>75</v>
      </c>
      <c r="K77" s="73">
        <f t="shared" si="15"/>
        <v>2281</v>
      </c>
      <c r="L77" s="48">
        <f t="shared" si="16"/>
        <v>3.004E-05</v>
      </c>
      <c r="M77" s="74">
        <f t="shared" si="17"/>
        <v>0</v>
      </c>
      <c r="N77" s="74">
        <f t="shared" si="18"/>
        <v>1.6984616E-07</v>
      </c>
      <c r="O77" s="75">
        <f t="shared" si="19"/>
        <v>1.6984616E-07</v>
      </c>
    </row>
    <row r="78" spans="1:15" ht="12.75">
      <c r="A78" s="39">
        <f t="shared" si="10"/>
        <v>44578</v>
      </c>
      <c r="B78" s="67">
        <f>IF(DIAS365('CALCULADORA TIL L-1'!$E$6,A78)&lt;0,0,DIAS365('CALCULADORA TIL L-1'!$E$6,A78))</f>
        <v>1308</v>
      </c>
      <c r="C78" s="41">
        <f>+HLOOKUP('CALCULADORA TIL L-1'!$E$4,Tablas!$B$1:$B$181,Flujos!J78+1,FALSE)</f>
        <v>0</v>
      </c>
      <c r="D78" s="68">
        <f t="shared" si="12"/>
        <v>0</v>
      </c>
      <c r="E78" s="69">
        <f t="shared" si="13"/>
        <v>0</v>
      </c>
      <c r="F78" s="69">
        <f>ROUND(D77*ROUND(((1+'CALCULADORA TIL L-1'!$C$14)^(1/12)-1),6),6)</f>
        <v>0</v>
      </c>
      <c r="G78" s="69">
        <f t="shared" si="14"/>
        <v>0</v>
      </c>
      <c r="H78" s="70">
        <f>IF($B78=0,0,G78/POWER(1+'CALCULADORA TIL L-1'!$F$11,Flujos!$B78/365))</f>
        <v>0</v>
      </c>
      <c r="I78" s="71">
        <f t="shared" si="11"/>
        <v>44578</v>
      </c>
      <c r="J78" s="72">
        <v>76</v>
      </c>
      <c r="K78" s="73">
        <f t="shared" si="15"/>
        <v>2312</v>
      </c>
      <c r="L78" s="48">
        <f t="shared" si="16"/>
        <v>3.004E-05</v>
      </c>
      <c r="M78" s="74">
        <f t="shared" si="17"/>
        <v>0</v>
      </c>
      <c r="N78" s="74">
        <f t="shared" si="18"/>
        <v>1.6984616E-07</v>
      </c>
      <c r="O78" s="75">
        <f t="shared" si="19"/>
        <v>1.6984616E-07</v>
      </c>
    </row>
    <row r="79" spans="1:15" ht="12.75">
      <c r="A79" s="39">
        <f t="shared" si="10"/>
        <v>44609</v>
      </c>
      <c r="B79" s="67">
        <f>IF(DIAS365('CALCULADORA TIL L-1'!$E$6,A79)&lt;0,0,DIAS365('CALCULADORA TIL L-1'!$E$6,A79))</f>
        <v>1339</v>
      </c>
      <c r="C79" s="41">
        <f>+HLOOKUP('CALCULADORA TIL L-1'!$E$4,Tablas!$B$1:$B$181,Flujos!J79+1,FALSE)</f>
        <v>0</v>
      </c>
      <c r="D79" s="68">
        <f t="shared" si="12"/>
        <v>0</v>
      </c>
      <c r="E79" s="69">
        <f t="shared" si="13"/>
        <v>0</v>
      </c>
      <c r="F79" s="69">
        <f>ROUND(D78*ROUND(((1+'CALCULADORA TIL L-1'!$C$14)^(1/12)-1),6),6)</f>
        <v>0</v>
      </c>
      <c r="G79" s="69">
        <f t="shared" si="14"/>
        <v>0</v>
      </c>
      <c r="H79" s="70">
        <f>IF($B79=0,0,G79/POWER(1+'CALCULADORA TIL L-1'!$F$11,Flujos!$B79/365))</f>
        <v>0</v>
      </c>
      <c r="I79" s="71">
        <f t="shared" si="11"/>
        <v>44609</v>
      </c>
      <c r="J79" s="72">
        <v>77</v>
      </c>
      <c r="K79" s="73">
        <f t="shared" si="15"/>
        <v>2343</v>
      </c>
      <c r="L79" s="48">
        <f t="shared" si="16"/>
        <v>3.004E-05</v>
      </c>
      <c r="M79" s="74">
        <f t="shared" si="17"/>
        <v>0</v>
      </c>
      <c r="N79" s="74">
        <f t="shared" si="18"/>
        <v>1.6984616E-07</v>
      </c>
      <c r="O79" s="75">
        <f t="shared" si="19"/>
        <v>1.6984616E-07</v>
      </c>
    </row>
    <row r="80" spans="1:15" ht="12.75">
      <c r="A80" s="39">
        <f t="shared" si="10"/>
        <v>44637</v>
      </c>
      <c r="B80" s="67">
        <f>IF(DIAS365('CALCULADORA TIL L-1'!$E$6,A80)&lt;0,0,DIAS365('CALCULADORA TIL L-1'!$E$6,A80))</f>
        <v>1367</v>
      </c>
      <c r="C80" s="41">
        <f>+HLOOKUP('CALCULADORA TIL L-1'!$E$4,Tablas!$B$1:$B$181,Flujos!J80+1,FALSE)</f>
        <v>0</v>
      </c>
      <c r="D80" s="68">
        <f t="shared" si="12"/>
        <v>0</v>
      </c>
      <c r="E80" s="69">
        <f t="shared" si="13"/>
        <v>0</v>
      </c>
      <c r="F80" s="69">
        <f>ROUND(D79*ROUND(((1+'CALCULADORA TIL L-1'!$C$14)^(1/12)-1),6),6)</f>
        <v>0</v>
      </c>
      <c r="G80" s="69">
        <f t="shared" si="14"/>
        <v>0</v>
      </c>
      <c r="H80" s="70">
        <f>IF($B80=0,0,G80/POWER(1+'CALCULADORA TIL L-1'!$F$11,Flujos!$B80/365))</f>
        <v>0</v>
      </c>
      <c r="I80" s="71">
        <f t="shared" si="11"/>
        <v>44637</v>
      </c>
      <c r="J80" s="72">
        <v>78</v>
      </c>
      <c r="K80" s="73">
        <f t="shared" si="15"/>
        <v>2371</v>
      </c>
      <c r="L80" s="48">
        <f t="shared" si="16"/>
        <v>3.004E-05</v>
      </c>
      <c r="M80" s="74">
        <f t="shared" si="17"/>
        <v>0</v>
      </c>
      <c r="N80" s="74">
        <f t="shared" si="18"/>
        <v>1.6984616E-07</v>
      </c>
      <c r="O80" s="75">
        <f t="shared" si="19"/>
        <v>1.6984616E-07</v>
      </c>
    </row>
    <row r="81" spans="1:15" ht="12.75">
      <c r="A81" s="39">
        <f t="shared" si="10"/>
        <v>44668</v>
      </c>
      <c r="B81" s="67">
        <f>IF(DIAS365('CALCULADORA TIL L-1'!$E$6,A81)&lt;0,0,DIAS365('CALCULADORA TIL L-1'!$E$6,A81))</f>
        <v>1398</v>
      </c>
      <c r="C81" s="41">
        <f>+HLOOKUP('CALCULADORA TIL L-1'!$E$4,Tablas!$B$1:$B$181,Flujos!J81+1,FALSE)</f>
        <v>0</v>
      </c>
      <c r="D81" s="69">
        <f t="shared" si="12"/>
        <v>0</v>
      </c>
      <c r="E81" s="69">
        <f t="shared" si="13"/>
        <v>0</v>
      </c>
      <c r="F81" s="69">
        <f>ROUND(D80*ROUND(((1+'CALCULADORA TIL L-1'!$C$14)^(1/12)-1),6),6)</f>
        <v>0</v>
      </c>
      <c r="G81" s="69">
        <f t="shared" si="14"/>
        <v>0</v>
      </c>
      <c r="H81" s="70">
        <f>IF($B81=0,0,G81/POWER(1+'CALCULADORA TIL L-1'!$F$11,Flujos!$B81/365))</f>
        <v>0</v>
      </c>
      <c r="I81" s="71">
        <f t="shared" si="11"/>
        <v>44668</v>
      </c>
      <c r="J81" s="72">
        <v>79</v>
      </c>
      <c r="K81" s="73">
        <f t="shared" si="15"/>
        <v>2402</v>
      </c>
      <c r="L81" s="48">
        <f t="shared" si="16"/>
        <v>3.004E-05</v>
      </c>
      <c r="M81" s="74">
        <f t="shared" si="17"/>
        <v>0</v>
      </c>
      <c r="N81" s="74">
        <f t="shared" si="18"/>
        <v>1.6984616E-07</v>
      </c>
      <c r="O81" s="75">
        <f t="shared" si="19"/>
        <v>1.6984616E-07</v>
      </c>
    </row>
    <row r="82" spans="1:15" ht="12.75">
      <c r="A82" s="39">
        <f t="shared" si="10"/>
        <v>44698</v>
      </c>
      <c r="B82" s="67">
        <f>IF(DIAS365('CALCULADORA TIL L-1'!$E$6,A82)&lt;0,0,DIAS365('CALCULADORA TIL L-1'!$E$6,A82))</f>
        <v>1428</v>
      </c>
      <c r="C82" s="41">
        <f>+HLOOKUP('CALCULADORA TIL L-1'!$E$4,Tablas!$B$1:$B$181,Flujos!J82+1,FALSE)</f>
        <v>0</v>
      </c>
      <c r="D82" s="68">
        <f t="shared" si="12"/>
        <v>0</v>
      </c>
      <c r="E82" s="69">
        <f t="shared" si="13"/>
        <v>0</v>
      </c>
      <c r="F82" s="69">
        <f>ROUND(D81*ROUND(((1+'CALCULADORA TIL L-1'!$C$14)^(1/12)-1),6),6)</f>
        <v>0</v>
      </c>
      <c r="G82" s="69">
        <f t="shared" si="14"/>
        <v>0</v>
      </c>
      <c r="H82" s="70">
        <f>IF($B82=0,0,G82/POWER(1+'CALCULADORA TIL L-1'!$F$11,Flujos!$B82/365))</f>
        <v>0</v>
      </c>
      <c r="I82" s="71">
        <f t="shared" si="11"/>
        <v>44698</v>
      </c>
      <c r="J82" s="72">
        <v>80</v>
      </c>
      <c r="K82" s="73">
        <f t="shared" si="15"/>
        <v>2432</v>
      </c>
      <c r="L82" s="48">
        <f t="shared" si="16"/>
        <v>3.004E-05</v>
      </c>
      <c r="M82" s="74">
        <f t="shared" si="17"/>
        <v>0</v>
      </c>
      <c r="N82" s="74">
        <f t="shared" si="18"/>
        <v>1.6984616E-07</v>
      </c>
      <c r="O82" s="75">
        <f t="shared" si="19"/>
        <v>1.6984616E-07</v>
      </c>
    </row>
    <row r="83" spans="1:15" ht="12.75">
      <c r="A83" s="39">
        <f t="shared" si="10"/>
        <v>44729</v>
      </c>
      <c r="B83" s="67">
        <f>IF(DIAS365('CALCULADORA TIL L-1'!$E$6,A83)&lt;0,0,DIAS365('CALCULADORA TIL L-1'!$E$6,A83))</f>
        <v>1459</v>
      </c>
      <c r="C83" s="41">
        <f>+HLOOKUP('CALCULADORA TIL L-1'!$E$4,Tablas!$B$1:$B$181,Flujos!J83+1,FALSE)</f>
        <v>0</v>
      </c>
      <c r="D83" s="68">
        <f t="shared" si="12"/>
        <v>0</v>
      </c>
      <c r="E83" s="69">
        <f t="shared" si="13"/>
        <v>0</v>
      </c>
      <c r="F83" s="69">
        <f>ROUND(D82*ROUND(((1+'CALCULADORA TIL L-1'!$C$14)^(1/12)-1),6),6)</f>
        <v>0</v>
      </c>
      <c r="G83" s="69">
        <f t="shared" si="14"/>
        <v>0</v>
      </c>
      <c r="H83" s="70">
        <f>IF($B83=0,0,G83/POWER(1+'CALCULADORA TIL L-1'!$F$11,Flujos!$B83/365))</f>
        <v>0</v>
      </c>
      <c r="I83" s="71">
        <f t="shared" si="11"/>
        <v>44729</v>
      </c>
      <c r="J83" s="72">
        <v>81</v>
      </c>
      <c r="K83" s="73">
        <f t="shared" si="15"/>
        <v>2463</v>
      </c>
      <c r="L83" s="48">
        <f t="shared" si="16"/>
        <v>3.004E-05</v>
      </c>
      <c r="M83" s="74">
        <f t="shared" si="17"/>
        <v>0</v>
      </c>
      <c r="N83" s="74">
        <f t="shared" si="18"/>
        <v>1.6984616E-07</v>
      </c>
      <c r="O83" s="75">
        <f t="shared" si="19"/>
        <v>1.6984616E-07</v>
      </c>
    </row>
    <row r="84" spans="1:15" ht="12.75">
      <c r="A84" s="39">
        <f t="shared" si="10"/>
        <v>44759</v>
      </c>
      <c r="B84" s="67">
        <f>IF(DIAS365('CALCULADORA TIL L-1'!$E$6,A84)&lt;0,0,DIAS365('CALCULADORA TIL L-1'!$E$6,A84))</f>
        <v>1489</v>
      </c>
      <c r="C84" s="41">
        <f>+HLOOKUP('CALCULADORA TIL L-1'!$E$4,Tablas!$B$1:$B$181,Flujos!J84+1,FALSE)</f>
        <v>0</v>
      </c>
      <c r="D84" s="68">
        <f t="shared" si="12"/>
        <v>0</v>
      </c>
      <c r="E84" s="69">
        <f t="shared" si="13"/>
        <v>0</v>
      </c>
      <c r="F84" s="69">
        <f>ROUND(D83*ROUND(((1+'CALCULADORA TIL L-1'!$C$14)^(1/12)-1),6),6)</f>
        <v>0</v>
      </c>
      <c r="G84" s="69">
        <f t="shared" si="14"/>
        <v>0</v>
      </c>
      <c r="H84" s="70">
        <f>IF($B84=0,0,G84/POWER(1+'CALCULADORA TIL L-1'!$F$11,Flujos!$B84/365))</f>
        <v>0</v>
      </c>
      <c r="I84" s="71">
        <f t="shared" si="11"/>
        <v>44759</v>
      </c>
      <c r="J84" s="72">
        <v>82</v>
      </c>
      <c r="K84" s="73">
        <f t="shared" si="15"/>
        <v>2493</v>
      </c>
      <c r="L84" s="48">
        <f t="shared" si="16"/>
        <v>3.004E-05</v>
      </c>
      <c r="M84" s="74">
        <f t="shared" si="17"/>
        <v>0</v>
      </c>
      <c r="N84" s="74">
        <f t="shared" si="18"/>
        <v>1.6984616E-07</v>
      </c>
      <c r="O84" s="75">
        <f t="shared" si="19"/>
        <v>1.6984616E-07</v>
      </c>
    </row>
    <row r="85" spans="1:15" ht="12.75">
      <c r="A85" s="39">
        <f t="shared" si="10"/>
        <v>44790</v>
      </c>
      <c r="B85" s="67">
        <f>IF(DIAS365('CALCULADORA TIL L-1'!$E$6,A85)&lt;0,0,DIAS365('CALCULADORA TIL L-1'!$E$6,A85))</f>
        <v>1520</v>
      </c>
      <c r="C85" s="41">
        <f>+HLOOKUP('CALCULADORA TIL L-1'!$E$4,Tablas!$B$1:$B$181,Flujos!J85+1,FALSE)</f>
        <v>0</v>
      </c>
      <c r="D85" s="68">
        <f t="shared" si="12"/>
        <v>0</v>
      </c>
      <c r="E85" s="69">
        <f t="shared" si="13"/>
        <v>0</v>
      </c>
      <c r="F85" s="69">
        <f>ROUND(D84*ROUND(((1+'CALCULADORA TIL L-1'!$C$14)^(1/12)-1),6),6)</f>
        <v>0</v>
      </c>
      <c r="G85" s="69">
        <f t="shared" si="14"/>
        <v>0</v>
      </c>
      <c r="H85" s="70">
        <f>IF($B85=0,0,G85/POWER(1+'CALCULADORA TIL L-1'!$F$11,Flujos!$B85/365))</f>
        <v>0</v>
      </c>
      <c r="I85" s="71">
        <f t="shared" si="11"/>
        <v>44790</v>
      </c>
      <c r="J85" s="72">
        <v>83</v>
      </c>
      <c r="K85" s="73">
        <f t="shared" si="15"/>
        <v>2524</v>
      </c>
      <c r="L85" s="48">
        <f t="shared" si="16"/>
        <v>3.004E-05</v>
      </c>
      <c r="M85" s="74">
        <f t="shared" si="17"/>
        <v>0</v>
      </c>
      <c r="N85" s="74">
        <f t="shared" si="18"/>
        <v>1.6984616E-07</v>
      </c>
      <c r="O85" s="75">
        <f t="shared" si="19"/>
        <v>1.6984616E-07</v>
      </c>
    </row>
    <row r="86" spans="1:15" ht="12.75">
      <c r="A86" s="39">
        <f t="shared" si="10"/>
        <v>44821</v>
      </c>
      <c r="B86" s="67">
        <f>IF(DIAS365('CALCULADORA TIL L-1'!$E$6,A86)&lt;0,0,DIAS365('CALCULADORA TIL L-1'!$E$6,A86))</f>
        <v>1551</v>
      </c>
      <c r="C86" s="41">
        <f>+HLOOKUP('CALCULADORA TIL L-1'!$E$4,Tablas!$B$1:$B$181,Flujos!J86+1,FALSE)</f>
        <v>0</v>
      </c>
      <c r="D86" s="68">
        <f t="shared" si="12"/>
        <v>0</v>
      </c>
      <c r="E86" s="69">
        <f t="shared" si="13"/>
        <v>0</v>
      </c>
      <c r="F86" s="69">
        <f>ROUND(D85*ROUND(((1+'CALCULADORA TIL L-1'!$C$14)^(1/12)-1),6),6)</f>
        <v>0</v>
      </c>
      <c r="G86" s="69">
        <f t="shared" si="14"/>
        <v>0</v>
      </c>
      <c r="H86" s="70">
        <f>IF($B86=0,0,G86/POWER(1+'CALCULADORA TIL L-1'!$F$11,Flujos!$B86/365))</f>
        <v>0</v>
      </c>
      <c r="I86" s="71">
        <f t="shared" si="11"/>
        <v>44821</v>
      </c>
      <c r="J86" s="72">
        <v>84</v>
      </c>
      <c r="K86" s="73">
        <f t="shared" si="15"/>
        <v>2555</v>
      </c>
      <c r="L86" s="48">
        <f t="shared" si="16"/>
        <v>3.004E-05</v>
      </c>
      <c r="M86" s="74">
        <f t="shared" si="17"/>
        <v>0</v>
      </c>
      <c r="N86" s="74">
        <f t="shared" si="18"/>
        <v>1.6984616E-07</v>
      </c>
      <c r="O86" s="75">
        <f t="shared" si="19"/>
        <v>1.6984616E-07</v>
      </c>
    </row>
    <row r="87" spans="1:15" ht="12.75">
      <c r="A87" s="39">
        <f t="shared" si="10"/>
        <v>44851</v>
      </c>
      <c r="B87" s="67">
        <f>IF(DIAS365('CALCULADORA TIL L-1'!$E$6,A87)&lt;0,0,DIAS365('CALCULADORA TIL L-1'!$E$6,A87))</f>
        <v>1581</v>
      </c>
      <c r="C87" s="41">
        <f>+HLOOKUP('CALCULADORA TIL L-1'!$E$4,Tablas!$B$1:$B$181,Flujos!J87+1,FALSE)</f>
        <v>0</v>
      </c>
      <c r="D87" s="68">
        <f t="shared" si="12"/>
        <v>0</v>
      </c>
      <c r="E87" s="69">
        <f t="shared" si="13"/>
        <v>0</v>
      </c>
      <c r="F87" s="69">
        <f>ROUND(D86*ROUND(((1+'CALCULADORA TIL L-1'!$C$14)^(1/12)-1),6),6)</f>
        <v>0</v>
      </c>
      <c r="G87" s="69">
        <f t="shared" si="14"/>
        <v>0</v>
      </c>
      <c r="H87" s="70">
        <f>IF($B87=0,0,G87/POWER(1+'CALCULADORA TIL L-1'!$F$11,Flujos!$B87/365))</f>
        <v>0</v>
      </c>
      <c r="I87" s="71">
        <f t="shared" si="11"/>
        <v>44851</v>
      </c>
      <c r="J87" s="72">
        <v>85</v>
      </c>
      <c r="K87" s="73">
        <f t="shared" si="15"/>
        <v>2585</v>
      </c>
      <c r="L87" s="48">
        <f t="shared" si="16"/>
        <v>3.004E-05</v>
      </c>
      <c r="M87" s="74">
        <f t="shared" si="17"/>
        <v>0</v>
      </c>
      <c r="N87" s="74">
        <f t="shared" si="18"/>
        <v>1.6984616E-07</v>
      </c>
      <c r="O87" s="75">
        <f t="shared" si="19"/>
        <v>1.6984616E-07</v>
      </c>
    </row>
    <row r="88" spans="1:15" ht="12.75">
      <c r="A88" s="39">
        <f t="shared" si="10"/>
        <v>44882</v>
      </c>
      <c r="B88" s="67">
        <f>IF(DIAS365('CALCULADORA TIL L-1'!$E$6,A88)&lt;0,0,DIAS365('CALCULADORA TIL L-1'!$E$6,A88))</f>
        <v>1612</v>
      </c>
      <c r="C88" s="41">
        <f>+HLOOKUP('CALCULADORA TIL L-1'!$E$4,Tablas!$B$1:$B$181,Flujos!J88+1,FALSE)</f>
        <v>0</v>
      </c>
      <c r="D88" s="68">
        <f t="shared" si="12"/>
        <v>0</v>
      </c>
      <c r="E88" s="69">
        <f t="shared" si="13"/>
        <v>0</v>
      </c>
      <c r="F88" s="69">
        <f>ROUND(D87*ROUND(((1+'CALCULADORA TIL L-1'!$C$14)^(1/12)-1),6),6)</f>
        <v>0</v>
      </c>
      <c r="G88" s="69">
        <f t="shared" si="14"/>
        <v>0</v>
      </c>
      <c r="H88" s="70">
        <f>IF($B88=0,0,G88/POWER(1+'CALCULADORA TIL L-1'!$F$11,Flujos!$B88/365))</f>
        <v>0</v>
      </c>
      <c r="I88" s="71">
        <f t="shared" si="11"/>
        <v>44882</v>
      </c>
      <c r="J88" s="72">
        <v>86</v>
      </c>
      <c r="K88" s="73">
        <f t="shared" si="15"/>
        <v>2616</v>
      </c>
      <c r="L88" s="48">
        <f t="shared" si="16"/>
        <v>3.004E-05</v>
      </c>
      <c r="M88" s="74">
        <f t="shared" si="17"/>
        <v>0</v>
      </c>
      <c r="N88" s="74">
        <f t="shared" si="18"/>
        <v>1.6984616E-07</v>
      </c>
      <c r="O88" s="75">
        <f t="shared" si="19"/>
        <v>1.6984616E-07</v>
      </c>
    </row>
    <row r="89" spans="1:15" ht="12.75">
      <c r="A89" s="39">
        <f t="shared" si="10"/>
        <v>44912</v>
      </c>
      <c r="B89" s="67">
        <f>IF(DIAS365('CALCULADORA TIL L-1'!$E$6,A89)&lt;0,0,DIAS365('CALCULADORA TIL L-1'!$E$6,A89))</f>
        <v>1642</v>
      </c>
      <c r="C89" s="41">
        <f>+HLOOKUP('CALCULADORA TIL L-1'!$E$4,Tablas!$B$1:$B$181,Flujos!J89+1,FALSE)</f>
        <v>0</v>
      </c>
      <c r="D89" s="68">
        <f t="shared" si="12"/>
        <v>0</v>
      </c>
      <c r="E89" s="69">
        <f t="shared" si="13"/>
        <v>0</v>
      </c>
      <c r="F89" s="69">
        <f>ROUND(D88*ROUND(((1+'CALCULADORA TIL L-1'!$C$14)^(1/12)-1),6),6)</f>
        <v>0</v>
      </c>
      <c r="G89" s="69">
        <f t="shared" si="14"/>
        <v>0</v>
      </c>
      <c r="H89" s="70">
        <f>IF($B89=0,0,G89/POWER(1+'CALCULADORA TIL L-1'!$F$11,Flujos!$B89/365))</f>
        <v>0</v>
      </c>
      <c r="I89" s="71">
        <f t="shared" si="11"/>
        <v>44912</v>
      </c>
      <c r="J89" s="72">
        <v>87</v>
      </c>
      <c r="K89" s="73">
        <f t="shared" si="15"/>
        <v>2646</v>
      </c>
      <c r="L89" s="48">
        <f t="shared" si="16"/>
        <v>3.004E-05</v>
      </c>
      <c r="M89" s="74">
        <f t="shared" si="17"/>
        <v>0</v>
      </c>
      <c r="N89" s="74">
        <f t="shared" si="18"/>
        <v>1.6984616E-07</v>
      </c>
      <c r="O89" s="75">
        <f t="shared" si="19"/>
        <v>1.6984616E-07</v>
      </c>
    </row>
    <row r="90" spans="1:15" ht="12.75">
      <c r="A90" s="39">
        <f t="shared" si="10"/>
        <v>44943</v>
      </c>
      <c r="B90" s="67">
        <f>IF(DIAS365('CALCULADORA TIL L-1'!$E$6,A90)&lt;0,0,DIAS365('CALCULADORA TIL L-1'!$E$6,A90))</f>
        <v>1673</v>
      </c>
      <c r="C90" s="41">
        <f>+HLOOKUP('CALCULADORA TIL L-1'!$E$4,Tablas!$B$1:$B$181,Flujos!J90+1,FALSE)</f>
        <v>0</v>
      </c>
      <c r="D90" s="68">
        <f t="shared" si="12"/>
        <v>0</v>
      </c>
      <c r="E90" s="69">
        <f t="shared" si="13"/>
        <v>0</v>
      </c>
      <c r="F90" s="69">
        <f>ROUND(D89*ROUND(((1+'CALCULADORA TIL L-1'!$C$14)^(1/12)-1),6),6)</f>
        <v>0</v>
      </c>
      <c r="G90" s="69">
        <f t="shared" si="14"/>
        <v>0</v>
      </c>
      <c r="H90" s="70">
        <f>IF($B90=0,0,G90/POWER(1+'CALCULADORA TIL L-1'!$F$11,Flujos!$B90/365))</f>
        <v>0</v>
      </c>
      <c r="I90" s="71">
        <f t="shared" si="11"/>
        <v>44943</v>
      </c>
      <c r="J90" s="72">
        <v>88</v>
      </c>
      <c r="K90" s="73">
        <f t="shared" si="15"/>
        <v>2677</v>
      </c>
      <c r="L90" s="48">
        <f t="shared" si="16"/>
        <v>3.004E-05</v>
      </c>
      <c r="M90" s="74">
        <f t="shared" si="17"/>
        <v>0</v>
      </c>
      <c r="N90" s="74">
        <f t="shared" si="18"/>
        <v>1.6984616E-07</v>
      </c>
      <c r="O90" s="75">
        <f t="shared" si="19"/>
        <v>1.6984616E-07</v>
      </c>
    </row>
    <row r="91" spans="1:15" ht="12.75">
      <c r="A91" s="39">
        <f t="shared" si="10"/>
        <v>44974</v>
      </c>
      <c r="B91" s="67">
        <f>IF(DIAS365('CALCULADORA TIL L-1'!$E$6,A91)&lt;0,0,DIAS365('CALCULADORA TIL L-1'!$E$6,A91))</f>
        <v>1704</v>
      </c>
      <c r="C91" s="41">
        <f>+HLOOKUP('CALCULADORA TIL L-1'!$E$4,Tablas!$B$1:$B$181,Flujos!J91+1,FALSE)</f>
        <v>0</v>
      </c>
      <c r="D91" s="68">
        <f t="shared" si="12"/>
        <v>0</v>
      </c>
      <c r="E91" s="69">
        <f t="shared" si="13"/>
        <v>0</v>
      </c>
      <c r="F91" s="69">
        <f>ROUND(D90*ROUND(((1+'CALCULADORA TIL L-1'!$C$14)^(1/12)-1),6),6)</f>
        <v>0</v>
      </c>
      <c r="G91" s="69">
        <f t="shared" si="14"/>
        <v>0</v>
      </c>
      <c r="H91" s="70">
        <f>IF($B91=0,0,G91/POWER(1+'CALCULADORA TIL L-1'!$F$11,Flujos!$B91/365))</f>
        <v>0</v>
      </c>
      <c r="I91" s="71">
        <f t="shared" si="11"/>
        <v>44974</v>
      </c>
      <c r="J91" s="72">
        <v>89</v>
      </c>
      <c r="K91" s="73">
        <f t="shared" si="15"/>
        <v>2708</v>
      </c>
      <c r="L91" s="48">
        <f t="shared" si="16"/>
        <v>3.004E-05</v>
      </c>
      <c r="M91" s="74">
        <f t="shared" si="17"/>
        <v>0</v>
      </c>
      <c r="N91" s="74">
        <f t="shared" si="18"/>
        <v>1.6984616E-07</v>
      </c>
      <c r="O91" s="75">
        <f t="shared" si="19"/>
        <v>1.6984616E-07</v>
      </c>
    </row>
    <row r="92" spans="1:15" ht="12.75">
      <c r="A92" s="39">
        <f t="shared" si="10"/>
        <v>45002</v>
      </c>
      <c r="B92" s="67">
        <f>IF(DIAS365('CALCULADORA TIL L-1'!$E$6,A92)&lt;0,0,DIAS365('CALCULADORA TIL L-1'!$E$6,A92))</f>
        <v>1732</v>
      </c>
      <c r="C92" s="41">
        <f>+HLOOKUP('CALCULADORA TIL L-1'!$E$4,Tablas!$B$1:$B$181,Flujos!J92+1,FALSE)</f>
        <v>0</v>
      </c>
      <c r="D92" s="68">
        <f t="shared" si="12"/>
        <v>0</v>
      </c>
      <c r="E92" s="69">
        <f t="shared" si="13"/>
        <v>0</v>
      </c>
      <c r="F92" s="69">
        <f>ROUND(D91*ROUND(((1+'CALCULADORA TIL L-1'!$C$14)^(1/12)-1),6),6)</f>
        <v>0</v>
      </c>
      <c r="G92" s="69">
        <f t="shared" si="14"/>
        <v>0</v>
      </c>
      <c r="H92" s="70">
        <f>IF($B92=0,0,G92/POWER(1+'CALCULADORA TIL L-1'!$F$11,Flujos!$B92/365))</f>
        <v>0</v>
      </c>
      <c r="I92" s="71">
        <f t="shared" si="11"/>
        <v>45002</v>
      </c>
      <c r="J92" s="72">
        <v>90</v>
      </c>
      <c r="K92" s="73">
        <f t="shared" si="15"/>
        <v>2736</v>
      </c>
      <c r="L92" s="48">
        <f t="shared" si="16"/>
        <v>3.004E-05</v>
      </c>
      <c r="M92" s="74">
        <f t="shared" si="17"/>
        <v>0</v>
      </c>
      <c r="N92" s="74">
        <f t="shared" si="18"/>
        <v>1.6984616E-07</v>
      </c>
      <c r="O92" s="75">
        <f t="shared" si="19"/>
        <v>1.6984616E-07</v>
      </c>
    </row>
    <row r="93" spans="1:15" ht="12.75">
      <c r="A93" s="39">
        <f t="shared" si="10"/>
        <v>45033</v>
      </c>
      <c r="B93" s="67">
        <f>IF(DIAS365('CALCULADORA TIL L-1'!$E$6,A93)&lt;0,0,DIAS365('CALCULADORA TIL L-1'!$E$6,A93))</f>
        <v>1763</v>
      </c>
      <c r="C93" s="41">
        <f>+HLOOKUP('CALCULADORA TIL L-1'!$E$4,Tablas!$B$1:$B$181,Flujos!J93+1,FALSE)</f>
        <v>0</v>
      </c>
      <c r="D93" s="68">
        <f t="shared" si="12"/>
        <v>0</v>
      </c>
      <c r="E93" s="69">
        <f t="shared" si="13"/>
        <v>0</v>
      </c>
      <c r="F93" s="69">
        <f>ROUND(D92*ROUND(((1+'CALCULADORA TIL L-1'!$C$14)^(1/12)-1),6),6)</f>
        <v>0</v>
      </c>
      <c r="G93" s="69">
        <f t="shared" si="14"/>
        <v>0</v>
      </c>
      <c r="H93" s="70">
        <f>IF($B93=0,0,G93/POWER(1+'CALCULADORA TIL L-1'!$F$11,Flujos!$B93/365))</f>
        <v>0</v>
      </c>
      <c r="I93" s="71">
        <f t="shared" si="11"/>
        <v>45033</v>
      </c>
      <c r="J93" s="72">
        <v>91</v>
      </c>
      <c r="K93" s="73">
        <f t="shared" si="15"/>
        <v>2767</v>
      </c>
      <c r="L93" s="48">
        <f t="shared" si="16"/>
        <v>3.004E-05</v>
      </c>
      <c r="M93" s="74">
        <f t="shared" si="17"/>
        <v>0</v>
      </c>
      <c r="N93" s="74">
        <f t="shared" si="18"/>
        <v>1.6984616E-07</v>
      </c>
      <c r="O93" s="75">
        <f t="shared" si="19"/>
        <v>1.6984616E-07</v>
      </c>
    </row>
    <row r="94" spans="1:15" ht="12.75">
      <c r="A94" s="39">
        <f t="shared" si="10"/>
        <v>45063</v>
      </c>
      <c r="B94" s="67">
        <f>IF(DIAS365('CALCULADORA TIL L-1'!$E$6,A94)&lt;0,0,DIAS365('CALCULADORA TIL L-1'!$E$6,A94))</f>
        <v>1793</v>
      </c>
      <c r="C94" s="41">
        <f>+HLOOKUP('CALCULADORA TIL L-1'!$E$4,Tablas!$B$1:$B$181,Flujos!J94+1,FALSE)</f>
        <v>0</v>
      </c>
      <c r="D94" s="68">
        <f t="shared" si="12"/>
        <v>0</v>
      </c>
      <c r="E94" s="69">
        <f t="shared" si="13"/>
        <v>0</v>
      </c>
      <c r="F94" s="69">
        <f>ROUND(D93*ROUND(((1+'CALCULADORA TIL L-1'!$C$14)^(1/12)-1),6),6)</f>
        <v>0</v>
      </c>
      <c r="G94" s="69">
        <f t="shared" si="14"/>
        <v>0</v>
      </c>
      <c r="H94" s="70">
        <f>IF($B94=0,0,G94/POWER(1+'CALCULADORA TIL L-1'!$F$11,Flujos!$B94/365))</f>
        <v>0</v>
      </c>
      <c r="I94" s="71">
        <f t="shared" si="11"/>
        <v>45063</v>
      </c>
      <c r="J94" s="72">
        <v>92</v>
      </c>
      <c r="K94" s="73">
        <f t="shared" si="15"/>
        <v>2797</v>
      </c>
      <c r="L94" s="48">
        <f t="shared" si="16"/>
        <v>3.004E-05</v>
      </c>
      <c r="M94" s="74">
        <f t="shared" si="17"/>
        <v>0</v>
      </c>
      <c r="N94" s="74">
        <f t="shared" si="18"/>
        <v>1.6984616E-07</v>
      </c>
      <c r="O94" s="75">
        <f t="shared" si="19"/>
        <v>1.6984616E-07</v>
      </c>
    </row>
    <row r="95" spans="1:15" ht="12.75">
      <c r="A95" s="39">
        <f t="shared" si="10"/>
        <v>45094</v>
      </c>
      <c r="B95" s="67">
        <f>IF(DIAS365('CALCULADORA TIL L-1'!$E$6,A95)&lt;0,0,DIAS365('CALCULADORA TIL L-1'!$E$6,A95))</f>
        <v>1824</v>
      </c>
      <c r="C95" s="41">
        <f>+HLOOKUP('CALCULADORA TIL L-1'!$E$4,Tablas!$B$1:$B$181,Flujos!J95+1,FALSE)</f>
        <v>0</v>
      </c>
      <c r="D95" s="68">
        <f t="shared" si="12"/>
        <v>0</v>
      </c>
      <c r="E95" s="69">
        <f t="shared" si="13"/>
        <v>0</v>
      </c>
      <c r="F95" s="69">
        <f>ROUND(D94*ROUND(((1+'CALCULADORA TIL L-1'!$C$14)^(1/12)-1),6),6)</f>
        <v>0</v>
      </c>
      <c r="G95" s="69">
        <f t="shared" si="14"/>
        <v>0</v>
      </c>
      <c r="H95" s="70">
        <f>IF($B95=0,0,G95/POWER(1+'CALCULADORA TIL L-1'!$F$11,Flujos!$B95/365))</f>
        <v>0</v>
      </c>
      <c r="I95" s="71">
        <f t="shared" si="11"/>
        <v>45094</v>
      </c>
      <c r="J95" s="72">
        <v>93</v>
      </c>
      <c r="K95" s="73">
        <f t="shared" si="15"/>
        <v>2828</v>
      </c>
      <c r="L95" s="48">
        <f t="shared" si="16"/>
        <v>3.004E-05</v>
      </c>
      <c r="M95" s="74">
        <f t="shared" si="17"/>
        <v>0</v>
      </c>
      <c r="N95" s="74">
        <f t="shared" si="18"/>
        <v>1.6984616E-07</v>
      </c>
      <c r="O95" s="75">
        <f t="shared" si="19"/>
        <v>1.6984616E-07</v>
      </c>
    </row>
    <row r="96" spans="1:15" ht="12.75">
      <c r="A96" s="39">
        <f t="shared" si="10"/>
        <v>45124</v>
      </c>
      <c r="B96" s="67">
        <f>IF(DIAS365('CALCULADORA TIL L-1'!$E$6,A96)&lt;0,0,DIAS365('CALCULADORA TIL L-1'!$E$6,A96))</f>
        <v>1854</v>
      </c>
      <c r="C96" s="41">
        <f>+HLOOKUP('CALCULADORA TIL L-1'!$E$4,Tablas!$B$1:$B$181,Flujos!J96+1,FALSE)</f>
        <v>0</v>
      </c>
      <c r="D96" s="68">
        <f t="shared" si="12"/>
        <v>0</v>
      </c>
      <c r="E96" s="69">
        <f t="shared" si="13"/>
        <v>0</v>
      </c>
      <c r="F96" s="69">
        <f>ROUND(D95*ROUND(((1+'CALCULADORA TIL L-1'!$C$14)^(1/12)-1),6),6)</f>
        <v>0</v>
      </c>
      <c r="G96" s="69">
        <f t="shared" si="14"/>
        <v>0</v>
      </c>
      <c r="H96" s="70">
        <f>IF($B96=0,0,G96/POWER(1+'CALCULADORA TIL L-1'!$F$11,Flujos!$B96/365))</f>
        <v>0</v>
      </c>
      <c r="I96" s="71">
        <f t="shared" si="11"/>
        <v>45124</v>
      </c>
      <c r="J96" s="72">
        <v>94</v>
      </c>
      <c r="K96" s="73">
        <f t="shared" si="15"/>
        <v>2858</v>
      </c>
      <c r="L96" s="48">
        <f t="shared" si="16"/>
        <v>3.004E-05</v>
      </c>
      <c r="M96" s="74">
        <f t="shared" si="17"/>
        <v>0</v>
      </c>
      <c r="N96" s="74">
        <f t="shared" si="18"/>
        <v>1.6984616E-07</v>
      </c>
      <c r="O96" s="75">
        <f t="shared" si="19"/>
        <v>1.6984616E-07</v>
      </c>
    </row>
    <row r="97" spans="1:15" ht="12.75">
      <c r="A97" s="39">
        <f t="shared" si="10"/>
        <v>45155</v>
      </c>
      <c r="B97" s="67">
        <f>IF(DIAS365('CALCULADORA TIL L-1'!$E$6,A97)&lt;0,0,DIAS365('CALCULADORA TIL L-1'!$E$6,A97))</f>
        <v>1885</v>
      </c>
      <c r="C97" s="41">
        <f>+HLOOKUP('CALCULADORA TIL L-1'!$E$4,Tablas!$B$1:$B$181,Flujos!J97+1,FALSE)</f>
        <v>0</v>
      </c>
      <c r="D97" s="68">
        <f t="shared" si="12"/>
        <v>0</v>
      </c>
      <c r="E97" s="69">
        <f t="shared" si="13"/>
        <v>0</v>
      </c>
      <c r="F97" s="69">
        <f>ROUND(D96*ROUND(((1+'CALCULADORA TIL L-1'!$C$14)^(1/12)-1),6),6)</f>
        <v>0</v>
      </c>
      <c r="G97" s="69">
        <f t="shared" si="14"/>
        <v>0</v>
      </c>
      <c r="H97" s="70">
        <f>IF($B97=0,0,G97/POWER(1+'CALCULADORA TIL L-1'!$F$11,Flujos!$B97/365))</f>
        <v>0</v>
      </c>
      <c r="I97" s="71">
        <f t="shared" si="11"/>
        <v>45155</v>
      </c>
      <c r="J97" s="72">
        <v>95</v>
      </c>
      <c r="K97" s="73">
        <f t="shared" si="15"/>
        <v>2889</v>
      </c>
      <c r="L97" s="48">
        <f t="shared" si="16"/>
        <v>3.004E-05</v>
      </c>
      <c r="M97" s="74">
        <f t="shared" si="17"/>
        <v>0</v>
      </c>
      <c r="N97" s="74">
        <f t="shared" si="18"/>
        <v>1.6984616E-07</v>
      </c>
      <c r="O97" s="75">
        <f t="shared" si="19"/>
        <v>1.6984616E-07</v>
      </c>
    </row>
    <row r="98" spans="1:15" ht="12.75">
      <c r="A98" s="39">
        <f t="shared" si="10"/>
        <v>45186</v>
      </c>
      <c r="B98" s="67">
        <f>IF(DIAS365('CALCULADORA TIL L-1'!$E$6,A98)&lt;0,0,DIAS365('CALCULADORA TIL L-1'!$E$6,A98))</f>
        <v>1916</v>
      </c>
      <c r="C98" s="41">
        <f>+HLOOKUP('CALCULADORA TIL L-1'!$E$4,Tablas!$B$1:$B$181,Flujos!J98+1,FALSE)</f>
        <v>0</v>
      </c>
      <c r="D98" s="68">
        <f t="shared" si="12"/>
        <v>0</v>
      </c>
      <c r="E98" s="69">
        <f t="shared" si="13"/>
        <v>0</v>
      </c>
      <c r="F98" s="69">
        <f>ROUND(D97*ROUND(((1+'CALCULADORA TIL L-1'!$C$14)^(1/12)-1),6),6)</f>
        <v>0</v>
      </c>
      <c r="G98" s="69">
        <f t="shared" si="14"/>
        <v>0</v>
      </c>
      <c r="H98" s="70">
        <f>IF($B98=0,0,G98/POWER(1+'CALCULADORA TIL L-1'!$F$11,Flujos!$B98/365))</f>
        <v>0</v>
      </c>
      <c r="I98" s="71">
        <f t="shared" si="11"/>
        <v>45186</v>
      </c>
      <c r="J98" s="72">
        <v>96</v>
      </c>
      <c r="K98" s="73">
        <f t="shared" si="15"/>
        <v>2920</v>
      </c>
      <c r="L98" s="48">
        <f t="shared" si="16"/>
        <v>3.004E-05</v>
      </c>
      <c r="M98" s="74">
        <f t="shared" si="17"/>
        <v>0</v>
      </c>
      <c r="N98" s="74">
        <f t="shared" si="18"/>
        <v>1.6984616E-07</v>
      </c>
      <c r="O98" s="75">
        <f t="shared" si="19"/>
        <v>1.6984616E-07</v>
      </c>
    </row>
    <row r="99" spans="1:15" ht="12.75">
      <c r="A99" s="39">
        <f t="shared" si="10"/>
        <v>45216</v>
      </c>
      <c r="B99" s="67">
        <f>IF(DIAS365('CALCULADORA TIL L-1'!$E$6,A99)&lt;0,0,DIAS365('CALCULADORA TIL L-1'!$E$6,A99))</f>
        <v>1946</v>
      </c>
      <c r="C99" s="41">
        <f>+HLOOKUP('CALCULADORA TIL L-1'!$E$4,Tablas!$B$1:$B$181,Flujos!J99+1,FALSE)</f>
        <v>0</v>
      </c>
      <c r="D99" s="68">
        <f t="shared" si="12"/>
        <v>0</v>
      </c>
      <c r="E99" s="69">
        <f t="shared" si="13"/>
        <v>0</v>
      </c>
      <c r="F99" s="69">
        <f>ROUND(D98*ROUND(((1+'CALCULADORA TIL L-1'!$C$14)^(1/12)-1),6),6)</f>
        <v>0</v>
      </c>
      <c r="G99" s="69">
        <f t="shared" si="14"/>
        <v>0</v>
      </c>
      <c r="H99" s="70">
        <f>IF($B99=0,0,G99/POWER(1+'CALCULADORA TIL L-1'!$F$11,Flujos!$B99/365))</f>
        <v>0</v>
      </c>
      <c r="I99" s="71">
        <f t="shared" si="11"/>
        <v>45216</v>
      </c>
      <c r="J99" s="72">
        <v>97</v>
      </c>
      <c r="K99" s="73">
        <f t="shared" si="15"/>
        <v>2950</v>
      </c>
      <c r="L99" s="48">
        <f t="shared" si="16"/>
        <v>3.004E-05</v>
      </c>
      <c r="M99" s="74">
        <f t="shared" si="17"/>
        <v>0</v>
      </c>
      <c r="N99" s="74">
        <f t="shared" si="18"/>
        <v>1.6984616E-07</v>
      </c>
      <c r="O99" s="75">
        <f t="shared" si="19"/>
        <v>1.6984616E-07</v>
      </c>
    </row>
    <row r="100" spans="1:15" ht="12.75">
      <c r="A100" s="39">
        <f t="shared" si="10"/>
        <v>45247</v>
      </c>
      <c r="B100" s="67">
        <f>IF(DIAS365('CALCULADORA TIL L-1'!$E$6,A100)&lt;0,0,DIAS365('CALCULADORA TIL L-1'!$E$6,A100))</f>
        <v>1977</v>
      </c>
      <c r="C100" s="41">
        <f>+HLOOKUP('CALCULADORA TIL L-1'!$E$4,Tablas!$B$1:$B$181,Flujos!J100+1,FALSE)</f>
        <v>0</v>
      </c>
      <c r="D100" s="68">
        <f t="shared" si="12"/>
        <v>0</v>
      </c>
      <c r="E100" s="69">
        <f t="shared" si="13"/>
        <v>0</v>
      </c>
      <c r="F100" s="69">
        <f>ROUND(D99*ROUND(((1+'CALCULADORA TIL L-1'!$C$14)^(1/12)-1),6),6)</f>
        <v>0</v>
      </c>
      <c r="G100" s="69">
        <f t="shared" si="14"/>
        <v>0</v>
      </c>
      <c r="H100" s="70">
        <f>IF($B100=0,0,G100/POWER(1+'CALCULADORA TIL L-1'!$F$11,Flujos!$B100/365))</f>
        <v>0</v>
      </c>
      <c r="I100" s="71">
        <f t="shared" si="11"/>
        <v>45247</v>
      </c>
      <c r="J100" s="72">
        <v>98</v>
      </c>
      <c r="K100" s="73">
        <f t="shared" si="15"/>
        <v>2981</v>
      </c>
      <c r="L100" s="48">
        <f t="shared" si="16"/>
        <v>3.004E-05</v>
      </c>
      <c r="M100" s="74">
        <f t="shared" si="17"/>
        <v>0</v>
      </c>
      <c r="N100" s="74">
        <f t="shared" si="18"/>
        <v>1.6984616E-07</v>
      </c>
      <c r="O100" s="75">
        <f t="shared" si="19"/>
        <v>1.6984616E-07</v>
      </c>
    </row>
    <row r="101" spans="1:15" ht="12.75">
      <c r="A101" s="39">
        <f t="shared" si="10"/>
        <v>45277</v>
      </c>
      <c r="B101" s="67">
        <f>IF(DIAS365('CALCULADORA TIL L-1'!$E$6,A101)&lt;0,0,DIAS365('CALCULADORA TIL L-1'!$E$6,A101))</f>
        <v>2007</v>
      </c>
      <c r="C101" s="41">
        <f>+HLOOKUP('CALCULADORA TIL L-1'!$E$4,Tablas!$B$1:$B$181,Flujos!J101+1,FALSE)</f>
        <v>0</v>
      </c>
      <c r="D101" s="68">
        <f t="shared" si="12"/>
        <v>0</v>
      </c>
      <c r="E101" s="69">
        <f t="shared" si="13"/>
        <v>0</v>
      </c>
      <c r="F101" s="69">
        <f>ROUND(D100*ROUND(((1+'CALCULADORA TIL L-1'!$C$14)^(1/12)-1),6),6)</f>
        <v>0</v>
      </c>
      <c r="G101" s="69">
        <f t="shared" si="14"/>
        <v>0</v>
      </c>
      <c r="H101" s="70">
        <f>IF($B101=0,0,G101/POWER(1+'CALCULADORA TIL L-1'!$F$11,Flujos!$B101/365))</f>
        <v>0</v>
      </c>
      <c r="I101" s="71">
        <f t="shared" si="11"/>
        <v>45277</v>
      </c>
      <c r="J101" s="72">
        <v>99</v>
      </c>
      <c r="K101" s="73">
        <f t="shared" si="15"/>
        <v>3011</v>
      </c>
      <c r="L101" s="48">
        <f t="shared" si="16"/>
        <v>3.004E-05</v>
      </c>
      <c r="M101" s="74">
        <f t="shared" si="17"/>
        <v>0</v>
      </c>
      <c r="N101" s="74">
        <f t="shared" si="18"/>
        <v>1.6984616E-07</v>
      </c>
      <c r="O101" s="75">
        <f t="shared" si="19"/>
        <v>1.6984616E-07</v>
      </c>
    </row>
    <row r="102" spans="1:15" ht="12.75">
      <c r="A102" s="39">
        <f t="shared" si="10"/>
        <v>45308</v>
      </c>
      <c r="B102" s="67">
        <f>IF(DIAS365('CALCULADORA TIL L-1'!$E$6,A102)&lt;0,0,DIAS365('CALCULADORA TIL L-1'!$E$6,A102))</f>
        <v>2038</v>
      </c>
      <c r="C102" s="41">
        <f>+HLOOKUP('CALCULADORA TIL L-1'!$E$4,Tablas!$B$1:$B$181,Flujos!J102+1,FALSE)</f>
        <v>0</v>
      </c>
      <c r="D102" s="68">
        <f t="shared" si="12"/>
        <v>0</v>
      </c>
      <c r="E102" s="69">
        <f t="shared" si="13"/>
        <v>0</v>
      </c>
      <c r="F102" s="69">
        <f>ROUND(D101*ROUND(((1+'CALCULADORA TIL L-1'!$C$14)^(1/12)-1),6),6)</f>
        <v>0</v>
      </c>
      <c r="G102" s="69">
        <f t="shared" si="14"/>
        <v>0</v>
      </c>
      <c r="H102" s="70">
        <f>IF($B102=0,0,G102/POWER(1+'CALCULADORA TIL L-1'!$F$11,Flujos!$B102/365))</f>
        <v>0</v>
      </c>
      <c r="I102" s="71">
        <f t="shared" si="11"/>
        <v>45308</v>
      </c>
      <c r="J102" s="72">
        <v>100</v>
      </c>
      <c r="K102" s="73">
        <f t="shared" si="15"/>
        <v>3042</v>
      </c>
      <c r="L102" s="48">
        <f t="shared" si="16"/>
        <v>3.004E-05</v>
      </c>
      <c r="M102" s="74">
        <f t="shared" si="17"/>
        <v>0</v>
      </c>
      <c r="N102" s="74">
        <f t="shared" si="18"/>
        <v>1.6984616E-07</v>
      </c>
      <c r="O102" s="75">
        <f t="shared" si="19"/>
        <v>1.6984616E-07</v>
      </c>
    </row>
    <row r="103" spans="1:15" ht="12.75">
      <c r="A103" s="39">
        <f t="shared" si="10"/>
        <v>45339</v>
      </c>
      <c r="B103" s="67">
        <f>IF(DIAS365('CALCULADORA TIL L-1'!$E$6,A103)&lt;0,0,DIAS365('CALCULADORA TIL L-1'!$E$6,A103))</f>
        <v>2069</v>
      </c>
      <c r="C103" s="41">
        <f>+HLOOKUP('CALCULADORA TIL L-1'!$E$4,Tablas!$B$1:$B$181,Flujos!J103+1,FALSE)</f>
        <v>0</v>
      </c>
      <c r="D103" s="68">
        <f t="shared" si="12"/>
        <v>0</v>
      </c>
      <c r="E103" s="69">
        <f t="shared" si="13"/>
        <v>0</v>
      </c>
      <c r="F103" s="69">
        <f>ROUND(D102*ROUND(((1+'CALCULADORA TIL L-1'!$C$14)^(1/12)-1),6),6)</f>
        <v>0</v>
      </c>
      <c r="G103" s="69">
        <f t="shared" si="14"/>
        <v>0</v>
      </c>
      <c r="H103" s="70">
        <f>IF($B103=0,0,G103/POWER(1+'CALCULADORA TIL L-1'!$F$11,Flujos!$B103/365))</f>
        <v>0</v>
      </c>
      <c r="I103" s="71">
        <f t="shared" si="11"/>
        <v>45339</v>
      </c>
      <c r="J103" s="72">
        <v>101</v>
      </c>
      <c r="K103" s="73">
        <f t="shared" si="15"/>
        <v>3073</v>
      </c>
      <c r="L103" s="48">
        <f t="shared" si="16"/>
        <v>3.004E-05</v>
      </c>
      <c r="M103" s="74">
        <f t="shared" si="17"/>
        <v>0</v>
      </c>
      <c r="N103" s="74">
        <f t="shared" si="18"/>
        <v>1.6984616E-07</v>
      </c>
      <c r="O103" s="75">
        <f t="shared" si="19"/>
        <v>1.6984616E-07</v>
      </c>
    </row>
    <row r="104" spans="1:15" ht="12.75">
      <c r="A104" s="39">
        <f t="shared" si="10"/>
        <v>45368</v>
      </c>
      <c r="B104" s="67">
        <f>IF(DIAS365('CALCULADORA TIL L-1'!$E$6,A104)&lt;0,0,DIAS365('CALCULADORA TIL L-1'!$E$6,A104))</f>
        <v>2097</v>
      </c>
      <c r="C104" s="41">
        <f>+HLOOKUP('CALCULADORA TIL L-1'!$E$4,Tablas!$B$1:$B$181,Flujos!J104+1,FALSE)</f>
        <v>0</v>
      </c>
      <c r="D104" s="68">
        <f t="shared" si="12"/>
        <v>0</v>
      </c>
      <c r="E104" s="69">
        <f t="shared" si="13"/>
        <v>0</v>
      </c>
      <c r="F104" s="69">
        <f>ROUND(D103*ROUND(((1+'CALCULADORA TIL L-1'!$C$14)^(1/12)-1),6),6)</f>
        <v>0</v>
      </c>
      <c r="G104" s="69">
        <f t="shared" si="14"/>
        <v>0</v>
      </c>
      <c r="H104" s="70">
        <f>IF($B104=0,0,G104/POWER(1+'CALCULADORA TIL L-1'!$F$11,Flujos!$B104/365))</f>
        <v>0</v>
      </c>
      <c r="I104" s="71">
        <f t="shared" si="11"/>
        <v>45368</v>
      </c>
      <c r="J104" s="72">
        <v>102</v>
      </c>
      <c r="K104" s="73">
        <f t="shared" si="15"/>
        <v>3101</v>
      </c>
      <c r="L104" s="48">
        <f t="shared" si="16"/>
        <v>3.004E-05</v>
      </c>
      <c r="M104" s="74">
        <f t="shared" si="17"/>
        <v>0</v>
      </c>
      <c r="N104" s="74">
        <f t="shared" si="18"/>
        <v>1.6984616E-07</v>
      </c>
      <c r="O104" s="75">
        <f t="shared" si="19"/>
        <v>1.6984616E-07</v>
      </c>
    </row>
    <row r="105" spans="1:15" ht="12.75">
      <c r="A105" s="39">
        <f t="shared" si="10"/>
        <v>45399</v>
      </c>
      <c r="B105" s="67">
        <f>IF(DIAS365('CALCULADORA TIL L-1'!$E$6,A105)&lt;0,0,DIAS365('CALCULADORA TIL L-1'!$E$6,A105))</f>
        <v>2128</v>
      </c>
      <c r="C105" s="41">
        <f>+HLOOKUP('CALCULADORA TIL L-1'!$E$4,Tablas!$B$1:$B$181,Flujos!J105+1,FALSE)</f>
        <v>0</v>
      </c>
      <c r="D105" s="68">
        <f t="shared" si="12"/>
        <v>0</v>
      </c>
      <c r="E105" s="69">
        <f t="shared" si="13"/>
        <v>0</v>
      </c>
      <c r="F105" s="69">
        <f>ROUND(D104*ROUND(((1+'CALCULADORA TIL L-1'!$C$14)^(1/12)-1),6),6)</f>
        <v>0</v>
      </c>
      <c r="G105" s="69">
        <f t="shared" si="14"/>
        <v>0</v>
      </c>
      <c r="H105" s="70">
        <f>IF($B105=0,0,G105/POWER(1+'CALCULADORA TIL L-1'!$F$11,Flujos!$B105/365))</f>
        <v>0</v>
      </c>
      <c r="I105" s="71">
        <f t="shared" si="11"/>
        <v>45399</v>
      </c>
      <c r="J105" s="72">
        <v>103</v>
      </c>
      <c r="K105" s="73">
        <f t="shared" si="15"/>
        <v>3132</v>
      </c>
      <c r="L105" s="48">
        <f t="shared" si="16"/>
        <v>3.004E-05</v>
      </c>
      <c r="M105" s="74">
        <f t="shared" si="17"/>
        <v>0</v>
      </c>
      <c r="N105" s="74">
        <f t="shared" si="18"/>
        <v>1.6984616E-07</v>
      </c>
      <c r="O105" s="75">
        <f t="shared" si="19"/>
        <v>1.6984616E-07</v>
      </c>
    </row>
    <row r="106" spans="1:15" ht="12.75">
      <c r="A106" s="39">
        <f t="shared" si="10"/>
        <v>45429</v>
      </c>
      <c r="B106" s="67">
        <f>IF(DIAS365('CALCULADORA TIL L-1'!$E$6,A106)&lt;0,0,DIAS365('CALCULADORA TIL L-1'!$E$6,A106))</f>
        <v>2158</v>
      </c>
      <c r="C106" s="41">
        <f>+HLOOKUP('CALCULADORA TIL L-1'!$E$4,Tablas!$B$1:$B$181,Flujos!J106+1,FALSE)</f>
        <v>0</v>
      </c>
      <c r="D106" s="68">
        <f t="shared" si="12"/>
        <v>0</v>
      </c>
      <c r="E106" s="69">
        <f t="shared" si="13"/>
        <v>0</v>
      </c>
      <c r="F106" s="69">
        <f>ROUND(D105*ROUND(((1+'CALCULADORA TIL L-1'!$C$14)^(1/12)-1),6),6)</f>
        <v>0</v>
      </c>
      <c r="G106" s="69">
        <f t="shared" si="14"/>
        <v>0</v>
      </c>
      <c r="H106" s="70">
        <f>IF($B106=0,0,G106/POWER(1+'CALCULADORA TIL L-1'!$F$11,Flujos!$B106/365))</f>
        <v>0</v>
      </c>
      <c r="I106" s="71">
        <f t="shared" si="11"/>
        <v>45429</v>
      </c>
      <c r="J106" s="72">
        <v>104</v>
      </c>
      <c r="K106" s="73">
        <f t="shared" si="15"/>
        <v>3162</v>
      </c>
      <c r="L106" s="48">
        <f t="shared" si="16"/>
        <v>3.004E-05</v>
      </c>
      <c r="M106" s="74">
        <f t="shared" si="17"/>
        <v>0</v>
      </c>
      <c r="N106" s="74">
        <f t="shared" si="18"/>
        <v>1.6984616E-07</v>
      </c>
      <c r="O106" s="75">
        <f t="shared" si="19"/>
        <v>1.6984616E-07</v>
      </c>
    </row>
    <row r="107" spans="1:15" ht="12.75">
      <c r="A107" s="39">
        <f t="shared" si="10"/>
        <v>45460</v>
      </c>
      <c r="B107" s="67">
        <f>IF(DIAS365('CALCULADORA TIL L-1'!$E$6,A107)&lt;0,0,DIAS365('CALCULADORA TIL L-1'!$E$6,A107))</f>
        <v>2189</v>
      </c>
      <c r="C107" s="41">
        <f>+HLOOKUP('CALCULADORA TIL L-1'!$E$4,Tablas!$B$1:$B$181,Flujos!J107+1,FALSE)</f>
        <v>0</v>
      </c>
      <c r="D107" s="68">
        <f t="shared" si="12"/>
        <v>0</v>
      </c>
      <c r="E107" s="69">
        <f t="shared" si="13"/>
        <v>0</v>
      </c>
      <c r="F107" s="69">
        <f>ROUND(D106*ROUND(((1+'CALCULADORA TIL L-1'!$C$14)^(1/12)-1),6),6)</f>
        <v>0</v>
      </c>
      <c r="G107" s="69">
        <f t="shared" si="14"/>
        <v>0</v>
      </c>
      <c r="H107" s="70">
        <f>IF($B107=0,0,G107/POWER(1+'CALCULADORA TIL L-1'!$F$11,Flujos!$B107/365))</f>
        <v>0</v>
      </c>
      <c r="I107" s="71">
        <f t="shared" si="11"/>
        <v>45460</v>
      </c>
      <c r="J107" s="72">
        <v>105</v>
      </c>
      <c r="K107" s="73">
        <f t="shared" si="15"/>
        <v>3193</v>
      </c>
      <c r="L107" s="48">
        <f t="shared" si="16"/>
        <v>3.004E-05</v>
      </c>
      <c r="M107" s="74">
        <f t="shared" si="17"/>
        <v>0</v>
      </c>
      <c r="N107" s="74">
        <f t="shared" si="18"/>
        <v>1.6984616E-07</v>
      </c>
      <c r="O107" s="75">
        <f t="shared" si="19"/>
        <v>1.6984616E-07</v>
      </c>
    </row>
    <row r="108" spans="1:15" ht="12.75">
      <c r="A108" s="39">
        <f t="shared" si="10"/>
        <v>45490</v>
      </c>
      <c r="B108" s="67">
        <f>IF(DIAS365('CALCULADORA TIL L-1'!$E$6,A108)&lt;0,0,DIAS365('CALCULADORA TIL L-1'!$E$6,A108))</f>
        <v>2219</v>
      </c>
      <c r="C108" s="41">
        <f>+HLOOKUP('CALCULADORA TIL L-1'!$E$4,Tablas!$B$1:$B$181,Flujos!J108+1,FALSE)</f>
        <v>0</v>
      </c>
      <c r="D108" s="68">
        <f t="shared" si="12"/>
        <v>0</v>
      </c>
      <c r="E108" s="69">
        <f t="shared" si="13"/>
        <v>0</v>
      </c>
      <c r="F108" s="69">
        <f>ROUND(D107*ROUND(((1+'CALCULADORA TIL L-1'!$C$14)^(1/12)-1),6),6)</f>
        <v>0</v>
      </c>
      <c r="G108" s="69">
        <f t="shared" si="14"/>
        <v>0</v>
      </c>
      <c r="H108" s="70">
        <f>IF($B108=0,0,G108/POWER(1+'CALCULADORA TIL L-1'!$F$11,Flujos!$B108/365))</f>
        <v>0</v>
      </c>
      <c r="I108" s="71">
        <f t="shared" si="11"/>
        <v>45490</v>
      </c>
      <c r="J108" s="72">
        <v>106</v>
      </c>
      <c r="K108" s="73">
        <f t="shared" si="15"/>
        <v>3223</v>
      </c>
      <c r="L108" s="48">
        <f t="shared" si="16"/>
        <v>3.004E-05</v>
      </c>
      <c r="M108" s="74">
        <f t="shared" si="17"/>
        <v>0</v>
      </c>
      <c r="N108" s="74">
        <f t="shared" si="18"/>
        <v>1.6984616E-07</v>
      </c>
      <c r="O108" s="75">
        <f t="shared" si="19"/>
        <v>1.6984616E-07</v>
      </c>
    </row>
    <row r="109" spans="1:15" ht="12.75">
      <c r="A109" s="39">
        <f t="shared" si="10"/>
        <v>45521</v>
      </c>
      <c r="B109" s="67">
        <f>IF(DIAS365('CALCULADORA TIL L-1'!$E$6,A109)&lt;0,0,DIAS365('CALCULADORA TIL L-1'!$E$6,A109))</f>
        <v>2250</v>
      </c>
      <c r="C109" s="41">
        <f>+HLOOKUP('CALCULADORA TIL L-1'!$E$4,Tablas!$B$1:$B$181,Flujos!J109+1,FALSE)</f>
        <v>0</v>
      </c>
      <c r="D109" s="68">
        <f t="shared" si="12"/>
        <v>0</v>
      </c>
      <c r="E109" s="69">
        <f t="shared" si="13"/>
        <v>0</v>
      </c>
      <c r="F109" s="69">
        <f>ROUND(D108*ROUND(((1+'CALCULADORA TIL L-1'!$C$14)^(1/12)-1),6),6)</f>
        <v>0</v>
      </c>
      <c r="G109" s="69">
        <f t="shared" si="14"/>
        <v>0</v>
      </c>
      <c r="H109" s="70">
        <f>IF($B109=0,0,G109/POWER(1+'CALCULADORA TIL L-1'!$F$11,Flujos!$B109/365))</f>
        <v>0</v>
      </c>
      <c r="I109" s="71">
        <f t="shared" si="11"/>
        <v>45521</v>
      </c>
      <c r="J109" s="72">
        <v>107</v>
      </c>
      <c r="K109" s="73">
        <f t="shared" si="15"/>
        <v>3254</v>
      </c>
      <c r="L109" s="48">
        <f t="shared" si="16"/>
        <v>3.004E-05</v>
      </c>
      <c r="M109" s="74">
        <f t="shared" si="17"/>
        <v>0</v>
      </c>
      <c r="N109" s="74">
        <f t="shared" si="18"/>
        <v>1.6984616E-07</v>
      </c>
      <c r="O109" s="75">
        <f t="shared" si="19"/>
        <v>1.6984616E-07</v>
      </c>
    </row>
    <row r="110" spans="1:15" ht="12.75">
      <c r="A110" s="39">
        <f t="shared" si="10"/>
        <v>45552</v>
      </c>
      <c r="B110" s="67">
        <f>IF(DIAS365('CALCULADORA TIL L-1'!$E$6,A110)&lt;0,0,DIAS365('CALCULADORA TIL L-1'!$E$6,A110))</f>
        <v>2281</v>
      </c>
      <c r="C110" s="41">
        <f>+HLOOKUP('CALCULADORA TIL L-1'!$E$4,Tablas!$B$1:$B$181,Flujos!J110+1,FALSE)</f>
        <v>0</v>
      </c>
      <c r="D110" s="68">
        <f t="shared" si="12"/>
        <v>0</v>
      </c>
      <c r="E110" s="69">
        <f t="shared" si="13"/>
        <v>0</v>
      </c>
      <c r="F110" s="69">
        <f>ROUND(D109*ROUND(((1+'CALCULADORA TIL L-1'!$C$14)^(1/12)-1),6),6)</f>
        <v>0</v>
      </c>
      <c r="G110" s="69">
        <f t="shared" si="14"/>
        <v>0</v>
      </c>
      <c r="H110" s="70">
        <f>IF($B110=0,0,G110/POWER(1+'CALCULADORA TIL L-1'!$F$11,Flujos!$B110/365))</f>
        <v>0</v>
      </c>
      <c r="I110" s="71">
        <f t="shared" si="11"/>
        <v>45552</v>
      </c>
      <c r="J110" s="72">
        <v>108</v>
      </c>
      <c r="K110" s="73">
        <f t="shared" si="15"/>
        <v>3285</v>
      </c>
      <c r="L110" s="48">
        <f t="shared" si="16"/>
        <v>3.004E-05</v>
      </c>
      <c r="M110" s="74">
        <f t="shared" si="17"/>
        <v>0</v>
      </c>
      <c r="N110" s="74">
        <f t="shared" si="18"/>
        <v>1.6984616E-07</v>
      </c>
      <c r="O110" s="75">
        <f t="shared" si="19"/>
        <v>1.6984616E-07</v>
      </c>
    </row>
    <row r="111" spans="1:15" ht="12.75">
      <c r="A111" s="39">
        <f t="shared" si="10"/>
        <v>45582</v>
      </c>
      <c r="B111" s="67">
        <f>IF(DIAS365('CALCULADORA TIL L-1'!$E$6,A111)&lt;0,0,DIAS365('CALCULADORA TIL L-1'!$E$6,A111))</f>
        <v>2311</v>
      </c>
      <c r="C111" s="41">
        <f>+HLOOKUP('CALCULADORA TIL L-1'!$E$4,Tablas!$B$1:$B$181,Flujos!J111+1,FALSE)</f>
        <v>0</v>
      </c>
      <c r="D111" s="68">
        <f t="shared" si="12"/>
        <v>0</v>
      </c>
      <c r="E111" s="69">
        <f t="shared" si="13"/>
        <v>0</v>
      </c>
      <c r="F111" s="69">
        <f>ROUND(D110*ROUND(((1+'CALCULADORA TIL L-1'!$C$14)^(1/12)-1),6),6)</f>
        <v>0</v>
      </c>
      <c r="G111" s="69">
        <f t="shared" si="14"/>
        <v>0</v>
      </c>
      <c r="H111" s="70">
        <f>IF($B111=0,0,G111/POWER(1+'CALCULADORA TIL L-1'!$F$11,Flujos!$B111/365))</f>
        <v>0</v>
      </c>
      <c r="I111" s="71">
        <f t="shared" si="11"/>
        <v>45582</v>
      </c>
      <c r="J111" s="72">
        <v>109</v>
      </c>
      <c r="K111" s="73">
        <f t="shared" si="15"/>
        <v>3315</v>
      </c>
      <c r="L111" s="48">
        <f t="shared" si="16"/>
        <v>3.004E-05</v>
      </c>
      <c r="M111" s="74">
        <f t="shared" si="17"/>
        <v>0</v>
      </c>
      <c r="N111" s="74">
        <f t="shared" si="18"/>
        <v>1.6984616E-07</v>
      </c>
      <c r="O111" s="75">
        <f t="shared" si="19"/>
        <v>1.6984616E-07</v>
      </c>
    </row>
    <row r="112" spans="1:15" ht="12.75">
      <c r="A112" s="39">
        <f t="shared" si="10"/>
        <v>45613</v>
      </c>
      <c r="B112" s="67">
        <f>IF(DIAS365('CALCULADORA TIL L-1'!$E$6,A112)&lt;0,0,DIAS365('CALCULADORA TIL L-1'!$E$6,A112))</f>
        <v>2342</v>
      </c>
      <c r="C112" s="41">
        <f>+HLOOKUP('CALCULADORA TIL L-1'!$E$4,Tablas!$B$1:$B$181,Flujos!J112+1,FALSE)</f>
        <v>0</v>
      </c>
      <c r="D112" s="68">
        <f t="shared" si="12"/>
        <v>0</v>
      </c>
      <c r="E112" s="69">
        <f t="shared" si="13"/>
        <v>0</v>
      </c>
      <c r="F112" s="69">
        <f>ROUND(D111*ROUND(((1+'CALCULADORA TIL L-1'!$C$14)^(1/12)-1),6),6)</f>
        <v>0</v>
      </c>
      <c r="G112" s="69">
        <f t="shared" si="14"/>
        <v>0</v>
      </c>
      <c r="H112" s="70">
        <f>IF($B112=0,0,G112/POWER(1+'CALCULADORA TIL L-1'!$F$11,Flujos!$B112/365))</f>
        <v>0</v>
      </c>
      <c r="I112" s="71">
        <f t="shared" si="11"/>
        <v>45613</v>
      </c>
      <c r="J112" s="72">
        <v>110</v>
      </c>
      <c r="K112" s="73">
        <f t="shared" si="15"/>
        <v>3346</v>
      </c>
      <c r="L112" s="48">
        <f t="shared" si="16"/>
        <v>3.004E-05</v>
      </c>
      <c r="M112" s="74">
        <f t="shared" si="17"/>
        <v>0</v>
      </c>
      <c r="N112" s="74">
        <f t="shared" si="18"/>
        <v>1.6984616E-07</v>
      </c>
      <c r="O112" s="75">
        <f t="shared" si="19"/>
        <v>1.6984616E-07</v>
      </c>
    </row>
    <row r="113" spans="1:15" ht="12.75">
      <c r="A113" s="39">
        <f t="shared" si="10"/>
        <v>45643</v>
      </c>
      <c r="B113" s="67">
        <f>IF(DIAS365('CALCULADORA TIL L-1'!$E$6,A113)&lt;0,0,DIAS365('CALCULADORA TIL L-1'!$E$6,A113))</f>
        <v>2372</v>
      </c>
      <c r="C113" s="41">
        <f>+HLOOKUP('CALCULADORA TIL L-1'!$E$4,Tablas!$B$1:$B$181,Flujos!J113+1,FALSE)</f>
        <v>0</v>
      </c>
      <c r="D113" s="68">
        <f t="shared" si="12"/>
        <v>0</v>
      </c>
      <c r="E113" s="69">
        <f t="shared" si="13"/>
        <v>0</v>
      </c>
      <c r="F113" s="69">
        <f>ROUND(D112*ROUND(((1+'CALCULADORA TIL L-1'!$C$14)^(1/12)-1),6),6)</f>
        <v>0</v>
      </c>
      <c r="G113" s="69">
        <f t="shared" si="14"/>
        <v>0</v>
      </c>
      <c r="H113" s="70">
        <f>IF($B113=0,0,G113/POWER(1+'CALCULADORA TIL L-1'!$F$11,Flujos!$B113/365))</f>
        <v>0</v>
      </c>
      <c r="I113" s="71">
        <f t="shared" si="11"/>
        <v>45643</v>
      </c>
      <c r="J113" s="72">
        <v>111</v>
      </c>
      <c r="K113" s="73">
        <f t="shared" si="15"/>
        <v>3376</v>
      </c>
      <c r="L113" s="48">
        <f t="shared" si="16"/>
        <v>3.004E-05</v>
      </c>
      <c r="M113" s="74">
        <f t="shared" si="17"/>
        <v>0</v>
      </c>
      <c r="N113" s="74">
        <f t="shared" si="18"/>
        <v>1.6984616E-07</v>
      </c>
      <c r="O113" s="75">
        <f t="shared" si="19"/>
        <v>1.6984616E-07</v>
      </c>
    </row>
    <row r="114" spans="1:15" ht="12.75">
      <c r="A114" s="39">
        <f t="shared" si="10"/>
        <v>45674</v>
      </c>
      <c r="B114" s="67">
        <f>IF(DIAS365('CALCULADORA TIL L-1'!$E$6,A114)&lt;0,0,DIAS365('CALCULADORA TIL L-1'!$E$6,A114))</f>
        <v>2403</v>
      </c>
      <c r="C114" s="41">
        <f>+HLOOKUP('CALCULADORA TIL L-1'!$E$4,Tablas!$B$1:$B$181,Flujos!J114+1,FALSE)</f>
        <v>0</v>
      </c>
      <c r="D114" s="68">
        <f t="shared" si="12"/>
        <v>0</v>
      </c>
      <c r="E114" s="69">
        <f t="shared" si="13"/>
        <v>0</v>
      </c>
      <c r="F114" s="69">
        <f>ROUND(D113*ROUND(((1+'CALCULADORA TIL L-1'!$C$14)^(1/12)-1),6),6)</f>
        <v>0</v>
      </c>
      <c r="G114" s="69">
        <f t="shared" si="14"/>
        <v>0</v>
      </c>
      <c r="H114" s="70">
        <f>IF($B114=0,0,G114/POWER(1+'CALCULADORA TIL L-1'!$F$11,Flujos!$B114/365))</f>
        <v>0</v>
      </c>
      <c r="I114" s="71">
        <f t="shared" si="11"/>
        <v>45674</v>
      </c>
      <c r="J114" s="72">
        <v>112</v>
      </c>
      <c r="K114" s="73">
        <f t="shared" si="15"/>
        <v>3407</v>
      </c>
      <c r="L114" s="48">
        <f t="shared" si="16"/>
        <v>3.004E-05</v>
      </c>
      <c r="M114" s="74">
        <f t="shared" si="17"/>
        <v>0</v>
      </c>
      <c r="N114" s="74">
        <f t="shared" si="18"/>
        <v>1.6984616E-07</v>
      </c>
      <c r="O114" s="75">
        <f t="shared" si="19"/>
        <v>1.6984616E-07</v>
      </c>
    </row>
    <row r="115" spans="1:15" ht="12.75">
      <c r="A115" s="39">
        <f t="shared" si="10"/>
        <v>45705</v>
      </c>
      <c r="B115" s="67">
        <f>IF(DIAS365('CALCULADORA TIL L-1'!$E$6,A115)&lt;0,0,DIAS365('CALCULADORA TIL L-1'!$E$6,A115))</f>
        <v>2434</v>
      </c>
      <c r="C115" s="41">
        <f>+HLOOKUP('CALCULADORA TIL L-1'!$E$4,Tablas!$B$1:$B$181,Flujos!J115+1,FALSE)</f>
        <v>0</v>
      </c>
      <c r="D115" s="68">
        <f t="shared" si="12"/>
        <v>0</v>
      </c>
      <c r="E115" s="69">
        <f t="shared" si="13"/>
        <v>0</v>
      </c>
      <c r="F115" s="69">
        <f>ROUND(D114*ROUND(((1+'CALCULADORA TIL L-1'!$C$14)^(1/12)-1),6),6)</f>
        <v>0</v>
      </c>
      <c r="G115" s="69">
        <f t="shared" si="14"/>
        <v>0</v>
      </c>
      <c r="H115" s="70">
        <f>IF($B115=0,0,G115/POWER(1+'CALCULADORA TIL L-1'!$F$11,Flujos!$B115/365))</f>
        <v>0</v>
      </c>
      <c r="I115" s="71">
        <f t="shared" si="11"/>
        <v>45705</v>
      </c>
      <c r="J115" s="72">
        <v>113</v>
      </c>
      <c r="K115" s="73">
        <f t="shared" si="15"/>
        <v>3438</v>
      </c>
      <c r="L115" s="48">
        <f t="shared" si="16"/>
        <v>3.004E-05</v>
      </c>
      <c r="M115" s="74">
        <f t="shared" si="17"/>
        <v>0</v>
      </c>
      <c r="N115" s="74">
        <f t="shared" si="18"/>
        <v>1.6984616E-07</v>
      </c>
      <c r="O115" s="75">
        <f t="shared" si="19"/>
        <v>1.6984616E-07</v>
      </c>
    </row>
    <row r="116" spans="1:15" ht="12.75">
      <c r="A116" s="39">
        <f t="shared" si="10"/>
        <v>45733</v>
      </c>
      <c r="B116" s="67">
        <f>IF(DIAS365('CALCULADORA TIL L-1'!$E$6,A116)&lt;0,0,DIAS365('CALCULADORA TIL L-1'!$E$6,A116))</f>
        <v>2462</v>
      </c>
      <c r="C116" s="41">
        <f>+HLOOKUP('CALCULADORA TIL L-1'!$E$4,Tablas!$B$1:$B$181,Flujos!J116+1,FALSE)</f>
        <v>0</v>
      </c>
      <c r="D116" s="68">
        <f t="shared" si="12"/>
        <v>0</v>
      </c>
      <c r="E116" s="69">
        <f t="shared" si="13"/>
        <v>0</v>
      </c>
      <c r="F116" s="69">
        <f>ROUND(D115*ROUND(((1+'CALCULADORA TIL L-1'!$C$14)^(1/12)-1),6),6)</f>
        <v>0</v>
      </c>
      <c r="G116" s="69">
        <f t="shared" si="14"/>
        <v>0</v>
      </c>
      <c r="H116" s="70">
        <f>IF($B116=0,0,G116/POWER(1+'CALCULADORA TIL L-1'!$F$11,Flujos!$B116/365))</f>
        <v>0</v>
      </c>
      <c r="I116" s="71">
        <f t="shared" si="11"/>
        <v>45733</v>
      </c>
      <c r="J116" s="72">
        <v>114</v>
      </c>
      <c r="K116" s="73">
        <f t="shared" si="15"/>
        <v>3466</v>
      </c>
      <c r="L116" s="48">
        <f t="shared" si="16"/>
        <v>3.004E-05</v>
      </c>
      <c r="M116" s="74">
        <f t="shared" si="17"/>
        <v>0</v>
      </c>
      <c r="N116" s="74">
        <f t="shared" si="18"/>
        <v>1.6984616E-07</v>
      </c>
      <c r="O116" s="75">
        <f t="shared" si="19"/>
        <v>1.6984616E-07</v>
      </c>
    </row>
    <row r="117" spans="1:15" ht="12.75">
      <c r="A117" s="39">
        <f t="shared" si="10"/>
        <v>45764</v>
      </c>
      <c r="B117" s="67">
        <f>IF(DIAS365('CALCULADORA TIL L-1'!$E$6,A117)&lt;0,0,DIAS365('CALCULADORA TIL L-1'!$E$6,A117))</f>
        <v>2493</v>
      </c>
      <c r="C117" s="41">
        <f>+HLOOKUP('CALCULADORA TIL L-1'!$E$4,Tablas!$B$1:$B$181,Flujos!J117+1,FALSE)</f>
        <v>0</v>
      </c>
      <c r="D117" s="68">
        <f t="shared" si="12"/>
        <v>0</v>
      </c>
      <c r="E117" s="69">
        <f t="shared" si="13"/>
        <v>0</v>
      </c>
      <c r="F117" s="69">
        <f>ROUND(D116*ROUND(((1+'CALCULADORA TIL L-1'!$C$14)^(1/12)-1),6),6)</f>
        <v>0</v>
      </c>
      <c r="G117" s="69">
        <f t="shared" si="14"/>
        <v>0</v>
      </c>
      <c r="H117" s="70">
        <f>IF($B117=0,0,G117/POWER(1+'CALCULADORA TIL L-1'!$F$11,Flujos!$B117/365))</f>
        <v>0</v>
      </c>
      <c r="I117" s="71">
        <f t="shared" si="11"/>
        <v>45764</v>
      </c>
      <c r="J117" s="72">
        <v>115</v>
      </c>
      <c r="K117" s="73">
        <f t="shared" si="15"/>
        <v>3497</v>
      </c>
      <c r="L117" s="48">
        <f t="shared" si="16"/>
        <v>3.004E-05</v>
      </c>
      <c r="M117" s="74">
        <f t="shared" si="17"/>
        <v>0</v>
      </c>
      <c r="N117" s="74">
        <f t="shared" si="18"/>
        <v>1.6984616E-07</v>
      </c>
      <c r="O117" s="75">
        <f t="shared" si="19"/>
        <v>1.6984616E-07</v>
      </c>
    </row>
    <row r="118" spans="1:15" ht="12.75">
      <c r="A118" s="39">
        <f t="shared" si="10"/>
        <v>45794</v>
      </c>
      <c r="B118" s="67">
        <f>IF(DIAS365('CALCULADORA TIL L-1'!$E$6,A118)&lt;0,0,DIAS365('CALCULADORA TIL L-1'!$E$6,A118))</f>
        <v>2523</v>
      </c>
      <c r="C118" s="41">
        <f>+HLOOKUP('CALCULADORA TIL L-1'!$E$4,Tablas!$B$1:$B$181,Flujos!J118+1,FALSE)</f>
        <v>0</v>
      </c>
      <c r="D118" s="68">
        <f t="shared" si="12"/>
        <v>0</v>
      </c>
      <c r="E118" s="69">
        <f t="shared" si="13"/>
        <v>0</v>
      </c>
      <c r="F118" s="69">
        <f>ROUND(D117*ROUND(((1+'CALCULADORA TIL L-1'!$C$14)^(1/12)-1),6),6)</f>
        <v>0</v>
      </c>
      <c r="G118" s="69">
        <f t="shared" si="14"/>
        <v>0</v>
      </c>
      <c r="H118" s="70">
        <f>IF($B118=0,0,G118/POWER(1+'CALCULADORA TIL L-1'!$F$11,Flujos!$B118/365))</f>
        <v>0</v>
      </c>
      <c r="I118" s="71">
        <f t="shared" si="11"/>
        <v>45794</v>
      </c>
      <c r="J118" s="72">
        <v>116</v>
      </c>
      <c r="K118" s="73">
        <f t="shared" si="15"/>
        <v>3527</v>
      </c>
      <c r="L118" s="48">
        <f t="shared" si="16"/>
        <v>3.004E-05</v>
      </c>
      <c r="M118" s="74">
        <f t="shared" si="17"/>
        <v>0</v>
      </c>
      <c r="N118" s="74">
        <f t="shared" si="18"/>
        <v>1.6984616E-07</v>
      </c>
      <c r="O118" s="75">
        <f t="shared" si="19"/>
        <v>1.6984616E-07</v>
      </c>
    </row>
    <row r="119" spans="1:15" ht="12.75">
      <c r="A119" s="39">
        <f t="shared" si="10"/>
        <v>45825</v>
      </c>
      <c r="B119" s="67">
        <f>IF(DIAS365('CALCULADORA TIL L-1'!$E$6,A119)&lt;0,0,DIAS365('CALCULADORA TIL L-1'!$E$6,A119))</f>
        <v>2554</v>
      </c>
      <c r="C119" s="41">
        <f>+HLOOKUP('CALCULADORA TIL L-1'!$E$4,Tablas!$B$1:$B$181,Flujos!J119+1,FALSE)</f>
        <v>0</v>
      </c>
      <c r="D119" s="68">
        <f t="shared" si="12"/>
        <v>0</v>
      </c>
      <c r="E119" s="69">
        <f t="shared" si="13"/>
        <v>0</v>
      </c>
      <c r="F119" s="69">
        <f>ROUND(D118*ROUND(((1+'CALCULADORA TIL L-1'!$C$14)^(1/12)-1),6),6)</f>
        <v>0</v>
      </c>
      <c r="G119" s="69">
        <f t="shared" si="14"/>
        <v>0</v>
      </c>
      <c r="H119" s="70">
        <f>IF($B119=0,0,G119/POWER(1+'CALCULADORA TIL L-1'!$F$11,Flujos!$B119/365))</f>
        <v>0</v>
      </c>
      <c r="I119" s="71">
        <f t="shared" si="11"/>
        <v>45825</v>
      </c>
      <c r="J119" s="72">
        <v>117</v>
      </c>
      <c r="K119" s="73">
        <f t="shared" si="15"/>
        <v>3558</v>
      </c>
      <c r="L119" s="48">
        <f t="shared" si="16"/>
        <v>3.004E-05</v>
      </c>
      <c r="M119" s="74">
        <f t="shared" si="17"/>
        <v>0</v>
      </c>
      <c r="N119" s="74">
        <f t="shared" si="18"/>
        <v>1.6984616E-07</v>
      </c>
      <c r="O119" s="75">
        <f t="shared" si="19"/>
        <v>1.6984616E-07</v>
      </c>
    </row>
    <row r="120" spans="1:15" ht="12.75">
      <c r="A120" s="39">
        <f t="shared" si="10"/>
        <v>45855</v>
      </c>
      <c r="B120" s="67">
        <f>IF(DIAS365('CALCULADORA TIL L-1'!$E$6,A120)&lt;0,0,DIAS365('CALCULADORA TIL L-1'!$E$6,A120))</f>
        <v>2584</v>
      </c>
      <c r="C120" s="41">
        <f>+HLOOKUP('CALCULADORA TIL L-1'!$E$4,Tablas!$B$1:$B$181,Flujos!J120+1,FALSE)</f>
        <v>0</v>
      </c>
      <c r="D120" s="68">
        <f t="shared" si="12"/>
        <v>0</v>
      </c>
      <c r="E120" s="69">
        <f t="shared" si="13"/>
        <v>0</v>
      </c>
      <c r="F120" s="69">
        <f>ROUND(D119*ROUND(((1+'CALCULADORA TIL L-1'!$C$14)^(1/12)-1),6),6)</f>
        <v>0</v>
      </c>
      <c r="G120" s="69">
        <f t="shared" si="14"/>
        <v>0</v>
      </c>
      <c r="H120" s="70">
        <f>IF($B120=0,0,G120/POWER(1+'CALCULADORA TIL L-1'!$F$11,Flujos!$B120/365))</f>
        <v>0</v>
      </c>
      <c r="I120" s="71">
        <f t="shared" si="11"/>
        <v>45855</v>
      </c>
      <c r="J120" s="72">
        <v>118</v>
      </c>
      <c r="K120" s="73">
        <f t="shared" si="15"/>
        <v>3588</v>
      </c>
      <c r="L120" s="48">
        <f t="shared" si="16"/>
        <v>3.004E-05</v>
      </c>
      <c r="M120" s="74">
        <f t="shared" si="17"/>
        <v>0</v>
      </c>
      <c r="N120" s="74">
        <f t="shared" si="18"/>
        <v>1.6984616E-07</v>
      </c>
      <c r="O120" s="75">
        <f t="shared" si="19"/>
        <v>1.6984616E-07</v>
      </c>
    </row>
    <row r="121" spans="1:15" ht="12.75">
      <c r="A121" s="39">
        <f t="shared" si="10"/>
        <v>45886</v>
      </c>
      <c r="B121" s="67">
        <f>IF(DIAS365('CALCULADORA TIL L-1'!$E$6,A121)&lt;0,0,DIAS365('CALCULADORA TIL L-1'!$E$6,A121))</f>
        <v>2615</v>
      </c>
      <c r="C121" s="41">
        <f>+HLOOKUP('CALCULADORA TIL L-1'!$E$4,Tablas!$B$1:$B$181,Flujos!J121+1,FALSE)</f>
        <v>0</v>
      </c>
      <c r="D121" s="68">
        <f t="shared" si="12"/>
        <v>0</v>
      </c>
      <c r="E121" s="69">
        <f t="shared" si="13"/>
        <v>0</v>
      </c>
      <c r="F121" s="69">
        <f>ROUND(D120*ROUND(((1+'CALCULADORA TIL L-1'!$C$14)^(1/12)-1),6),6)</f>
        <v>0</v>
      </c>
      <c r="G121" s="69">
        <f t="shared" si="14"/>
        <v>0</v>
      </c>
      <c r="H121" s="70">
        <f>IF($B121=0,0,G121/POWER(1+'CALCULADORA TIL L-1'!$F$11,Flujos!$B121/365))</f>
        <v>0</v>
      </c>
      <c r="I121" s="71">
        <f t="shared" si="11"/>
        <v>45886</v>
      </c>
      <c r="J121" s="72">
        <v>119</v>
      </c>
      <c r="K121" s="73">
        <f t="shared" si="15"/>
        <v>3619</v>
      </c>
      <c r="L121" s="48">
        <f t="shared" si="16"/>
        <v>3.004E-05</v>
      </c>
      <c r="M121" s="74">
        <f t="shared" si="17"/>
        <v>0</v>
      </c>
      <c r="N121" s="74">
        <f t="shared" si="18"/>
        <v>1.6984616E-07</v>
      </c>
      <c r="O121" s="75">
        <f t="shared" si="19"/>
        <v>1.6984616E-07</v>
      </c>
    </row>
    <row r="122" spans="1:15" ht="12.75">
      <c r="A122" s="39">
        <f t="shared" si="10"/>
        <v>45917</v>
      </c>
      <c r="B122" s="67">
        <f>IF(DIAS365('CALCULADORA TIL L-1'!$E$6,A122)&lt;0,0,DIAS365('CALCULADORA TIL L-1'!$E$6,A122))</f>
        <v>2646</v>
      </c>
      <c r="C122" s="41">
        <f>+HLOOKUP('CALCULADORA TIL L-1'!$E$4,Tablas!$B$1:$B$181,Flujos!J122+1,FALSE)</f>
        <v>0</v>
      </c>
      <c r="D122" s="68">
        <f t="shared" si="12"/>
        <v>0</v>
      </c>
      <c r="E122" s="69">
        <f t="shared" si="13"/>
        <v>0</v>
      </c>
      <c r="F122" s="69">
        <f>ROUND(D121*ROUND(((1+'CALCULADORA TIL L-1'!$C$14)^(1/12)-1),6),6)</f>
        <v>0</v>
      </c>
      <c r="G122" s="69">
        <f t="shared" si="14"/>
        <v>0</v>
      </c>
      <c r="H122" s="70">
        <f>IF($B122=0,0,G122/POWER(1+'CALCULADORA TIL L-1'!$F$11,Flujos!$B122/365))</f>
        <v>0</v>
      </c>
      <c r="I122" s="71">
        <f t="shared" si="11"/>
        <v>45917</v>
      </c>
      <c r="J122" s="72">
        <v>120</v>
      </c>
      <c r="K122" s="73">
        <f t="shared" si="15"/>
        <v>3650</v>
      </c>
      <c r="L122" s="48">
        <f t="shared" si="16"/>
        <v>3.004E-05</v>
      </c>
      <c r="M122" s="74">
        <f t="shared" si="17"/>
        <v>0</v>
      </c>
      <c r="N122" s="74">
        <f t="shared" si="18"/>
        <v>1.6984616E-07</v>
      </c>
      <c r="O122" s="75">
        <f t="shared" si="19"/>
        <v>1.6984616E-07</v>
      </c>
    </row>
    <row r="123" spans="1:15" ht="12.75">
      <c r="A123" s="39">
        <f t="shared" si="10"/>
        <v>45947</v>
      </c>
      <c r="B123" s="67">
        <f>IF(DIAS365('CALCULADORA TIL L-1'!$E$6,A123)&lt;0,0,DIAS365('CALCULADORA TIL L-1'!$E$6,A123))</f>
        <v>2676</v>
      </c>
      <c r="C123" s="41">
        <f>+HLOOKUP('CALCULADORA TIL L-1'!$E$4,Tablas!$B$1:$B$181,Flujos!J123+1,FALSE)</f>
        <v>0</v>
      </c>
      <c r="D123" s="68">
        <f t="shared" si="12"/>
        <v>0</v>
      </c>
      <c r="E123" s="69">
        <f t="shared" si="13"/>
        <v>0</v>
      </c>
      <c r="F123" s="69">
        <f>ROUND(D122*ROUND(((1+'CALCULADORA TIL L-1'!$C$14)^(1/12)-1),6),6)</f>
        <v>0</v>
      </c>
      <c r="G123" s="69">
        <f t="shared" si="14"/>
        <v>0</v>
      </c>
      <c r="H123" s="70">
        <f>IF($B123=0,0,G123/POWER(1+'CALCULADORA TIL L-1'!$F$11,Flujos!$B123/365))</f>
        <v>0</v>
      </c>
      <c r="I123" s="71">
        <f t="shared" si="11"/>
        <v>45947</v>
      </c>
      <c r="J123" s="72">
        <v>121</v>
      </c>
      <c r="K123" s="73">
        <f t="shared" si="15"/>
        <v>3680</v>
      </c>
      <c r="L123" s="48">
        <f t="shared" si="16"/>
        <v>3.004E-05</v>
      </c>
      <c r="M123" s="74">
        <f t="shared" si="17"/>
        <v>0</v>
      </c>
      <c r="N123" s="74">
        <f t="shared" si="18"/>
        <v>1.6984616E-07</v>
      </c>
      <c r="O123" s="75">
        <f t="shared" si="19"/>
        <v>1.6984616E-07</v>
      </c>
    </row>
    <row r="124" spans="1:15" ht="12.75">
      <c r="A124" s="39">
        <f t="shared" si="10"/>
        <v>45978</v>
      </c>
      <c r="B124" s="67">
        <f>IF(DIAS365('CALCULADORA TIL L-1'!$E$6,A124)&lt;0,0,DIAS365('CALCULADORA TIL L-1'!$E$6,A124))</f>
        <v>2707</v>
      </c>
      <c r="C124" s="41">
        <f>+HLOOKUP('CALCULADORA TIL L-1'!$E$4,Tablas!$B$1:$B$181,Flujos!J124+1,FALSE)</f>
        <v>0</v>
      </c>
      <c r="D124" s="68">
        <f t="shared" si="12"/>
        <v>0</v>
      </c>
      <c r="E124" s="69">
        <f t="shared" si="13"/>
        <v>0</v>
      </c>
      <c r="F124" s="69">
        <f>ROUND(D123*ROUND(((1+'CALCULADORA TIL L-1'!$C$14)^(1/12)-1),6),6)</f>
        <v>0</v>
      </c>
      <c r="G124" s="69">
        <f t="shared" si="14"/>
        <v>0</v>
      </c>
      <c r="H124" s="70">
        <f>IF($B124=0,0,G124/POWER(1+'CALCULADORA TIL L-1'!$F$11,Flujos!$B124/365))</f>
        <v>0</v>
      </c>
      <c r="I124" s="71">
        <f t="shared" si="11"/>
        <v>45978</v>
      </c>
      <c r="J124" s="72">
        <v>122</v>
      </c>
      <c r="K124" s="73">
        <f t="shared" si="15"/>
        <v>3711</v>
      </c>
      <c r="L124" s="48">
        <f t="shared" si="16"/>
        <v>3.004E-05</v>
      </c>
      <c r="M124" s="74">
        <f t="shared" si="17"/>
        <v>0</v>
      </c>
      <c r="N124" s="74">
        <f t="shared" si="18"/>
        <v>1.6984616E-07</v>
      </c>
      <c r="O124" s="75">
        <f t="shared" si="19"/>
        <v>1.6984616E-07</v>
      </c>
    </row>
    <row r="125" spans="1:15" ht="12.75">
      <c r="A125" s="39">
        <f t="shared" si="10"/>
        <v>46008</v>
      </c>
      <c r="B125" s="67">
        <f>IF(DIAS365('CALCULADORA TIL L-1'!$E$6,A125)&lt;0,0,DIAS365('CALCULADORA TIL L-1'!$E$6,A125))</f>
        <v>2737</v>
      </c>
      <c r="C125" s="41">
        <f>+HLOOKUP('CALCULADORA TIL L-1'!$E$4,Tablas!$B$1:$B$181,Flujos!J125+1,FALSE)</f>
        <v>0</v>
      </c>
      <c r="D125" s="68">
        <f t="shared" si="12"/>
        <v>0</v>
      </c>
      <c r="E125" s="69">
        <f t="shared" si="13"/>
        <v>0</v>
      </c>
      <c r="F125" s="69">
        <f>ROUND(D124*ROUND(((1+'CALCULADORA TIL L-1'!$C$14)^(1/12)-1),6),6)</f>
        <v>0</v>
      </c>
      <c r="G125" s="69">
        <f t="shared" si="14"/>
        <v>0</v>
      </c>
      <c r="H125" s="70">
        <f>IF($B125=0,0,G125/POWER(1+'CALCULADORA TIL L-1'!$F$11,Flujos!$B125/365))</f>
        <v>0</v>
      </c>
      <c r="I125" s="71">
        <f t="shared" si="11"/>
        <v>46008</v>
      </c>
      <c r="J125" s="72">
        <v>123</v>
      </c>
      <c r="K125" s="73">
        <f t="shared" si="15"/>
        <v>3741</v>
      </c>
      <c r="L125" s="48">
        <f t="shared" si="16"/>
        <v>3.004E-05</v>
      </c>
      <c r="M125" s="74">
        <f t="shared" si="17"/>
        <v>0</v>
      </c>
      <c r="N125" s="74">
        <f t="shared" si="18"/>
        <v>1.6984616E-07</v>
      </c>
      <c r="O125" s="75">
        <f t="shared" si="19"/>
        <v>1.6984616E-07</v>
      </c>
    </row>
    <row r="126" spans="1:15" ht="12.75">
      <c r="A126" s="39">
        <f t="shared" si="10"/>
        <v>46039</v>
      </c>
      <c r="B126" s="67">
        <f>IF(DIAS365('CALCULADORA TIL L-1'!$E$6,A126)&lt;0,0,DIAS365('CALCULADORA TIL L-1'!$E$6,A126))</f>
        <v>2768</v>
      </c>
      <c r="C126" s="41">
        <f>+HLOOKUP('CALCULADORA TIL L-1'!$E$4,Tablas!$B$1:$B$181,Flujos!J126+1,FALSE)</f>
        <v>0</v>
      </c>
      <c r="D126" s="68">
        <f t="shared" si="12"/>
        <v>0</v>
      </c>
      <c r="E126" s="69">
        <f t="shared" si="13"/>
        <v>0</v>
      </c>
      <c r="F126" s="69">
        <f>ROUND(D125*ROUND(((1+'CALCULADORA TIL L-1'!$C$14)^(1/12)-1),6),6)</f>
        <v>0</v>
      </c>
      <c r="G126" s="69">
        <f t="shared" si="14"/>
        <v>0</v>
      </c>
      <c r="H126" s="70">
        <f>IF($B126=0,0,G126/POWER(1+'CALCULADORA TIL L-1'!$F$11,Flujos!$B126/365))</f>
        <v>0</v>
      </c>
      <c r="I126" s="71">
        <f t="shared" si="11"/>
        <v>46039</v>
      </c>
      <c r="J126" s="72">
        <v>124</v>
      </c>
      <c r="K126" s="73">
        <f t="shared" si="15"/>
        <v>3772</v>
      </c>
      <c r="L126" s="48">
        <f t="shared" si="16"/>
        <v>3.004E-05</v>
      </c>
      <c r="M126" s="74">
        <f t="shared" si="17"/>
        <v>0</v>
      </c>
      <c r="N126" s="74">
        <f t="shared" si="18"/>
        <v>1.6984616E-07</v>
      </c>
      <c r="O126" s="75">
        <f t="shared" si="19"/>
        <v>1.6984616E-07</v>
      </c>
    </row>
    <row r="127" spans="1:15" ht="12.75">
      <c r="A127" s="39">
        <f t="shared" si="10"/>
        <v>46070</v>
      </c>
      <c r="B127" s="67">
        <f>IF(DIAS365('CALCULADORA TIL L-1'!$E$6,A127)&lt;0,0,DIAS365('CALCULADORA TIL L-1'!$E$6,A127))</f>
        <v>2799</v>
      </c>
      <c r="C127" s="41">
        <f>+HLOOKUP('CALCULADORA TIL L-1'!$E$4,Tablas!$B$1:$B$181,Flujos!J127+1,FALSE)</f>
        <v>0</v>
      </c>
      <c r="D127" s="68">
        <f t="shared" si="12"/>
        <v>0</v>
      </c>
      <c r="E127" s="69">
        <f t="shared" si="13"/>
        <v>0</v>
      </c>
      <c r="F127" s="69">
        <f>ROUND(D126*ROUND(((1+'CALCULADORA TIL L-1'!$C$14)^(1/12)-1),6),6)</f>
        <v>0</v>
      </c>
      <c r="G127" s="69">
        <f t="shared" si="14"/>
        <v>0</v>
      </c>
      <c r="H127" s="70">
        <f>IF($B127=0,0,G127/POWER(1+'CALCULADORA TIL L-1'!$F$11,Flujos!$B127/365))</f>
        <v>0</v>
      </c>
      <c r="I127" s="71">
        <f t="shared" si="11"/>
        <v>46070</v>
      </c>
      <c r="J127" s="72">
        <v>125</v>
      </c>
      <c r="K127" s="73">
        <f t="shared" si="15"/>
        <v>3803</v>
      </c>
      <c r="L127" s="48">
        <f t="shared" si="16"/>
        <v>3.004E-05</v>
      </c>
      <c r="M127" s="74">
        <f t="shared" si="17"/>
        <v>0</v>
      </c>
      <c r="N127" s="74">
        <f t="shared" si="18"/>
        <v>1.6984616E-07</v>
      </c>
      <c r="O127" s="75">
        <f t="shared" si="19"/>
        <v>1.6984616E-07</v>
      </c>
    </row>
    <row r="128" spans="1:15" ht="12.75">
      <c r="A128" s="39">
        <f t="shared" si="10"/>
        <v>46098</v>
      </c>
      <c r="B128" s="67">
        <f>IF(DIAS365('CALCULADORA TIL L-1'!$E$6,A128)&lt;0,0,DIAS365('CALCULADORA TIL L-1'!$E$6,A128))</f>
        <v>2827</v>
      </c>
      <c r="C128" s="41">
        <f>+HLOOKUP('CALCULADORA TIL L-1'!$E$4,Tablas!$B$1:$B$181,Flujos!J128+1,FALSE)</f>
        <v>0</v>
      </c>
      <c r="D128" s="68">
        <f t="shared" si="12"/>
        <v>0</v>
      </c>
      <c r="E128" s="69">
        <f t="shared" si="13"/>
        <v>0</v>
      </c>
      <c r="F128" s="69">
        <f>ROUND(D127*ROUND(((1+'CALCULADORA TIL L-1'!$C$14)^(1/12)-1),6),6)</f>
        <v>0</v>
      </c>
      <c r="G128" s="69">
        <f t="shared" si="14"/>
        <v>0</v>
      </c>
      <c r="H128" s="70">
        <f>IF($B128=0,0,G128/POWER(1+'CALCULADORA TIL L-1'!$F$11,Flujos!$B128/365))</f>
        <v>0</v>
      </c>
      <c r="I128" s="71">
        <f t="shared" si="11"/>
        <v>46098</v>
      </c>
      <c r="J128" s="72">
        <v>126</v>
      </c>
      <c r="K128" s="73">
        <f t="shared" si="15"/>
        <v>3831</v>
      </c>
      <c r="L128" s="48">
        <f t="shared" si="16"/>
        <v>3.004E-05</v>
      </c>
      <c r="M128" s="74">
        <f t="shared" si="17"/>
        <v>0</v>
      </c>
      <c r="N128" s="74">
        <f t="shared" si="18"/>
        <v>1.6984616E-07</v>
      </c>
      <c r="O128" s="75">
        <f t="shared" si="19"/>
        <v>1.6984616E-07</v>
      </c>
    </row>
    <row r="129" spans="1:15" ht="12.75">
      <c r="A129" s="39">
        <f t="shared" si="10"/>
        <v>46129</v>
      </c>
      <c r="B129" s="67">
        <f>IF(DIAS365('CALCULADORA TIL L-1'!$E$6,A129)&lt;0,0,DIAS365('CALCULADORA TIL L-1'!$E$6,A129))</f>
        <v>2858</v>
      </c>
      <c r="C129" s="41">
        <f>+HLOOKUP('CALCULADORA TIL L-1'!$E$4,Tablas!$B$1:$B$181,Flujos!J129+1,FALSE)</f>
        <v>0</v>
      </c>
      <c r="D129" s="68">
        <f t="shared" si="12"/>
        <v>0</v>
      </c>
      <c r="E129" s="69">
        <f t="shared" si="13"/>
        <v>0</v>
      </c>
      <c r="F129" s="69">
        <f>ROUND(D128*ROUND(((1+'CALCULADORA TIL L-1'!$C$14)^(1/12)-1),6),6)</f>
        <v>0</v>
      </c>
      <c r="G129" s="69">
        <f t="shared" si="14"/>
        <v>0</v>
      </c>
      <c r="H129" s="70">
        <f>IF($B129=0,0,G129/POWER(1+'CALCULADORA TIL L-1'!$F$11,Flujos!$B129/365))</f>
        <v>0</v>
      </c>
      <c r="I129" s="71">
        <f t="shared" si="11"/>
        <v>46129</v>
      </c>
      <c r="J129" s="72">
        <v>127</v>
      </c>
      <c r="K129" s="73">
        <f t="shared" si="15"/>
        <v>3862</v>
      </c>
      <c r="L129" s="48">
        <f t="shared" si="16"/>
        <v>3.004E-05</v>
      </c>
      <c r="M129" s="74">
        <f t="shared" si="17"/>
        <v>0</v>
      </c>
      <c r="N129" s="74">
        <f t="shared" si="18"/>
        <v>1.6984616E-07</v>
      </c>
      <c r="O129" s="75">
        <f t="shared" si="19"/>
        <v>1.6984616E-07</v>
      </c>
    </row>
    <row r="130" spans="1:15" ht="12.75">
      <c r="A130" s="39">
        <f t="shared" si="10"/>
        <v>46159</v>
      </c>
      <c r="B130" s="67">
        <f>IF(DIAS365('CALCULADORA TIL L-1'!$E$6,A130)&lt;0,0,DIAS365('CALCULADORA TIL L-1'!$E$6,A130))</f>
        <v>2888</v>
      </c>
      <c r="C130" s="41">
        <f>+HLOOKUP('CALCULADORA TIL L-1'!$E$4,Tablas!$B$1:$B$181,Flujos!J130+1,FALSE)</f>
        <v>0</v>
      </c>
      <c r="D130" s="68">
        <f t="shared" si="12"/>
        <v>0</v>
      </c>
      <c r="E130" s="69">
        <f t="shared" si="13"/>
        <v>0</v>
      </c>
      <c r="F130" s="69">
        <f>ROUND(D129*ROUND(((1+'CALCULADORA TIL L-1'!$C$14)^(1/12)-1),6),6)</f>
        <v>0</v>
      </c>
      <c r="G130" s="69">
        <f t="shared" si="14"/>
        <v>0</v>
      </c>
      <c r="H130" s="70">
        <f>IF($B130=0,0,G130/POWER(1+'CALCULADORA TIL L-1'!$F$11,Flujos!$B130/365))</f>
        <v>0</v>
      </c>
      <c r="I130" s="71">
        <f t="shared" si="11"/>
        <v>46159</v>
      </c>
      <c r="J130" s="72">
        <v>128</v>
      </c>
      <c r="K130" s="73">
        <f t="shared" si="15"/>
        <v>3892</v>
      </c>
      <c r="L130" s="48">
        <f t="shared" si="16"/>
        <v>3.004E-05</v>
      </c>
      <c r="M130" s="74">
        <f t="shared" si="17"/>
        <v>0</v>
      </c>
      <c r="N130" s="74">
        <f t="shared" si="18"/>
        <v>1.6984616E-07</v>
      </c>
      <c r="O130" s="75">
        <f t="shared" si="19"/>
        <v>1.6984616E-07</v>
      </c>
    </row>
    <row r="131" spans="1:15" ht="12.75">
      <c r="A131" s="39">
        <f aca="true" t="shared" si="20" ref="A131:A182">_XLL.FECHA.MES(A130,1)</f>
        <v>46190</v>
      </c>
      <c r="B131" s="67">
        <f>IF(DIAS365('CALCULADORA TIL L-1'!$E$6,A131)&lt;0,0,DIAS365('CALCULADORA TIL L-1'!$E$6,A131))</f>
        <v>2919</v>
      </c>
      <c r="C131" s="41">
        <f>+HLOOKUP('CALCULADORA TIL L-1'!$E$4,Tablas!$B$1:$B$181,Flujos!J131+1,FALSE)</f>
        <v>0</v>
      </c>
      <c r="D131" s="68">
        <f t="shared" si="12"/>
        <v>0</v>
      </c>
      <c r="E131" s="69">
        <f t="shared" si="13"/>
        <v>0</v>
      </c>
      <c r="F131" s="69">
        <f>ROUND(D130*ROUND(((1+'CALCULADORA TIL L-1'!$C$14)^(1/12)-1),6),6)</f>
        <v>0</v>
      </c>
      <c r="G131" s="69">
        <f t="shared" si="14"/>
        <v>0</v>
      </c>
      <c r="H131" s="70">
        <f>IF($B131=0,0,G131/POWER(1+'CALCULADORA TIL L-1'!$F$11,Flujos!$B131/365))</f>
        <v>0</v>
      </c>
      <c r="I131" s="71">
        <f aca="true" t="shared" si="21" ref="I131:I182">+A131</f>
        <v>46190</v>
      </c>
      <c r="J131" s="72">
        <v>129</v>
      </c>
      <c r="K131" s="73">
        <f t="shared" si="15"/>
        <v>3923</v>
      </c>
      <c r="L131" s="48">
        <f t="shared" si="16"/>
        <v>3.004E-05</v>
      </c>
      <c r="M131" s="74">
        <f t="shared" si="17"/>
        <v>0</v>
      </c>
      <c r="N131" s="74">
        <f t="shared" si="18"/>
        <v>1.6984616E-07</v>
      </c>
      <c r="O131" s="75">
        <f t="shared" si="19"/>
        <v>1.6984616E-07</v>
      </c>
    </row>
    <row r="132" spans="1:15" ht="12.75">
      <c r="A132" s="39">
        <f t="shared" si="20"/>
        <v>46220</v>
      </c>
      <c r="B132" s="67">
        <f>IF(DIAS365('CALCULADORA TIL L-1'!$E$6,A132)&lt;0,0,DIAS365('CALCULADORA TIL L-1'!$E$6,A132))</f>
        <v>2949</v>
      </c>
      <c r="C132" s="41">
        <f>+HLOOKUP('CALCULADORA TIL L-1'!$E$4,Tablas!$B$1:$B$181,Flujos!J132+1,FALSE)</f>
        <v>0</v>
      </c>
      <c r="D132" s="68">
        <f aca="true" t="shared" si="22" ref="D132:D182">+ROUND(D131-E132,6)</f>
        <v>0</v>
      </c>
      <c r="E132" s="69">
        <f aca="true" t="shared" si="23" ref="E132:E182">ROUND(C132*$D$2,6)</f>
        <v>0</v>
      </c>
      <c r="F132" s="69">
        <f>ROUND(D131*ROUND(((1+'CALCULADORA TIL L-1'!$C$14)^(1/12)-1),6),6)</f>
        <v>0</v>
      </c>
      <c r="G132" s="69">
        <f aca="true" t="shared" si="24" ref="G132:G182">F132+E132</f>
        <v>0</v>
      </c>
      <c r="H132" s="70">
        <f>IF($B132=0,0,G132/POWER(1+'CALCULADORA TIL L-1'!$F$11,Flujos!$B132/365))</f>
        <v>0</v>
      </c>
      <c r="I132" s="71">
        <f t="shared" si="21"/>
        <v>46220</v>
      </c>
      <c r="J132" s="72">
        <v>130</v>
      </c>
      <c r="K132" s="73">
        <f aca="true" t="shared" si="25" ref="K132:K182">+DIAS365($A$2,A132)</f>
        <v>3953</v>
      </c>
      <c r="L132" s="48">
        <f aca="true" t="shared" si="26" ref="L132:L182">ROUND(L131-M132,8)</f>
        <v>3.004E-05</v>
      </c>
      <c r="M132" s="74">
        <f aca="true" t="shared" si="27" ref="M132:M182">+$L$2*C132</f>
        <v>0</v>
      </c>
      <c r="N132" s="74">
        <f aca="true" t="shared" si="28" ref="N132:N182">+L131*$F$3%</f>
        <v>1.6984616E-07</v>
      </c>
      <c r="O132" s="75">
        <f aca="true" t="shared" si="29" ref="O132:O182">+N132+M132</f>
        <v>1.6984616E-07</v>
      </c>
    </row>
    <row r="133" spans="1:15" ht="12.75">
      <c r="A133" s="39">
        <f t="shared" si="20"/>
        <v>46251</v>
      </c>
      <c r="B133" s="67">
        <f>IF(DIAS365('CALCULADORA TIL L-1'!$E$6,A133)&lt;0,0,DIAS365('CALCULADORA TIL L-1'!$E$6,A133))</f>
        <v>2980</v>
      </c>
      <c r="C133" s="41">
        <f>+HLOOKUP('CALCULADORA TIL L-1'!$E$4,Tablas!$B$1:$B$181,Flujos!J133+1,FALSE)</f>
        <v>0</v>
      </c>
      <c r="D133" s="68">
        <f t="shared" si="22"/>
        <v>0</v>
      </c>
      <c r="E133" s="69">
        <f t="shared" si="23"/>
        <v>0</v>
      </c>
      <c r="F133" s="69">
        <f>ROUND(D132*ROUND(((1+'CALCULADORA TIL L-1'!$C$14)^(1/12)-1),6),6)</f>
        <v>0</v>
      </c>
      <c r="G133" s="69">
        <f t="shared" si="24"/>
        <v>0</v>
      </c>
      <c r="H133" s="70">
        <f>IF($B133=0,0,G133/POWER(1+'CALCULADORA TIL L-1'!$F$11,Flujos!$B133/365))</f>
        <v>0</v>
      </c>
      <c r="I133" s="71">
        <f t="shared" si="21"/>
        <v>46251</v>
      </c>
      <c r="J133" s="72">
        <v>131</v>
      </c>
      <c r="K133" s="73">
        <f t="shared" si="25"/>
        <v>3984</v>
      </c>
      <c r="L133" s="48">
        <f t="shared" si="26"/>
        <v>3.004E-05</v>
      </c>
      <c r="M133" s="74">
        <f t="shared" si="27"/>
        <v>0</v>
      </c>
      <c r="N133" s="74">
        <f t="shared" si="28"/>
        <v>1.6984616E-07</v>
      </c>
      <c r="O133" s="75">
        <f t="shared" si="29"/>
        <v>1.6984616E-07</v>
      </c>
    </row>
    <row r="134" spans="1:15" ht="12.75">
      <c r="A134" s="39">
        <f t="shared" si="20"/>
        <v>46282</v>
      </c>
      <c r="B134" s="67">
        <f>IF(DIAS365('CALCULADORA TIL L-1'!$E$6,A134)&lt;0,0,DIAS365('CALCULADORA TIL L-1'!$E$6,A134))</f>
        <v>3011</v>
      </c>
      <c r="C134" s="41">
        <f>+HLOOKUP('CALCULADORA TIL L-1'!$E$4,Tablas!$B$1:$B$181,Flujos!J134+1,FALSE)</f>
        <v>0</v>
      </c>
      <c r="D134" s="68">
        <f t="shared" si="22"/>
        <v>0</v>
      </c>
      <c r="E134" s="69">
        <f t="shared" si="23"/>
        <v>0</v>
      </c>
      <c r="F134" s="69">
        <f>ROUND(D133*ROUND(((1+'CALCULADORA TIL L-1'!$C$14)^(1/12)-1),6),6)</f>
        <v>0</v>
      </c>
      <c r="G134" s="69">
        <f t="shared" si="24"/>
        <v>0</v>
      </c>
      <c r="H134" s="70">
        <f>IF($B134=0,0,G134/POWER(1+'CALCULADORA TIL L-1'!$F$11,Flujos!$B134/365))</f>
        <v>0</v>
      </c>
      <c r="I134" s="71">
        <f t="shared" si="21"/>
        <v>46282</v>
      </c>
      <c r="J134" s="72">
        <v>132</v>
      </c>
      <c r="K134" s="73">
        <f t="shared" si="25"/>
        <v>4015</v>
      </c>
      <c r="L134" s="48">
        <f t="shared" si="26"/>
        <v>3.004E-05</v>
      </c>
      <c r="M134" s="74">
        <f t="shared" si="27"/>
        <v>0</v>
      </c>
      <c r="N134" s="74">
        <f t="shared" si="28"/>
        <v>1.6984616E-07</v>
      </c>
      <c r="O134" s="75">
        <f t="shared" si="29"/>
        <v>1.6984616E-07</v>
      </c>
    </row>
    <row r="135" spans="1:15" ht="12.75">
      <c r="A135" s="39">
        <f t="shared" si="20"/>
        <v>46312</v>
      </c>
      <c r="B135" s="67">
        <f>IF(DIAS365('CALCULADORA TIL L-1'!$E$6,A135)&lt;0,0,DIAS365('CALCULADORA TIL L-1'!$E$6,A135))</f>
        <v>3041</v>
      </c>
      <c r="C135" s="41">
        <f>+HLOOKUP('CALCULADORA TIL L-1'!$E$4,Tablas!$B$1:$B$181,Flujos!J135+1,FALSE)</f>
        <v>0</v>
      </c>
      <c r="D135" s="68">
        <f t="shared" si="22"/>
        <v>0</v>
      </c>
      <c r="E135" s="69">
        <f t="shared" si="23"/>
        <v>0</v>
      </c>
      <c r="F135" s="69">
        <f>ROUND(D134*ROUND(((1+'CALCULADORA TIL L-1'!$C$14)^(1/12)-1),6),6)</f>
        <v>0</v>
      </c>
      <c r="G135" s="69">
        <f t="shared" si="24"/>
        <v>0</v>
      </c>
      <c r="H135" s="70">
        <f>IF($B135=0,0,G135/POWER(1+'CALCULADORA TIL L-1'!$F$11,Flujos!$B135/365))</f>
        <v>0</v>
      </c>
      <c r="I135" s="71">
        <f t="shared" si="21"/>
        <v>46312</v>
      </c>
      <c r="J135" s="72">
        <v>133</v>
      </c>
      <c r="K135" s="73">
        <f t="shared" si="25"/>
        <v>4045</v>
      </c>
      <c r="L135" s="48">
        <f t="shared" si="26"/>
        <v>3.004E-05</v>
      </c>
      <c r="M135" s="74">
        <f t="shared" si="27"/>
        <v>0</v>
      </c>
      <c r="N135" s="74">
        <f t="shared" si="28"/>
        <v>1.6984616E-07</v>
      </c>
      <c r="O135" s="75">
        <f t="shared" si="29"/>
        <v>1.6984616E-07</v>
      </c>
    </row>
    <row r="136" spans="1:15" ht="12.75">
      <c r="A136" s="39">
        <f t="shared" si="20"/>
        <v>46343</v>
      </c>
      <c r="B136" s="67">
        <f>IF(DIAS365('CALCULADORA TIL L-1'!$E$6,A136)&lt;0,0,DIAS365('CALCULADORA TIL L-1'!$E$6,A136))</f>
        <v>3072</v>
      </c>
      <c r="C136" s="41">
        <f>+HLOOKUP('CALCULADORA TIL L-1'!$E$4,Tablas!$B$1:$B$181,Flujos!J136+1,FALSE)</f>
        <v>0</v>
      </c>
      <c r="D136" s="68">
        <f t="shared" si="22"/>
        <v>0</v>
      </c>
      <c r="E136" s="69">
        <f t="shared" si="23"/>
        <v>0</v>
      </c>
      <c r="F136" s="69">
        <f>ROUND(D135*ROUND(((1+'CALCULADORA TIL L-1'!$C$14)^(1/12)-1),6),6)</f>
        <v>0</v>
      </c>
      <c r="G136" s="69">
        <f t="shared" si="24"/>
        <v>0</v>
      </c>
      <c r="H136" s="70">
        <f>IF($B136=0,0,G136/POWER(1+'CALCULADORA TIL L-1'!$F$11,Flujos!$B136/365))</f>
        <v>0</v>
      </c>
      <c r="I136" s="71">
        <f t="shared" si="21"/>
        <v>46343</v>
      </c>
      <c r="J136" s="72">
        <v>134</v>
      </c>
      <c r="K136" s="73">
        <f t="shared" si="25"/>
        <v>4076</v>
      </c>
      <c r="L136" s="48">
        <f t="shared" si="26"/>
        <v>3.004E-05</v>
      </c>
      <c r="M136" s="74">
        <f t="shared" si="27"/>
        <v>0</v>
      </c>
      <c r="N136" s="74">
        <f t="shared" si="28"/>
        <v>1.6984616E-07</v>
      </c>
      <c r="O136" s="75">
        <f t="shared" si="29"/>
        <v>1.6984616E-07</v>
      </c>
    </row>
    <row r="137" spans="1:15" ht="12.75">
      <c r="A137" s="39">
        <f t="shared" si="20"/>
        <v>46373</v>
      </c>
      <c r="B137" s="67">
        <f>IF(DIAS365('CALCULADORA TIL L-1'!$E$6,A137)&lt;0,0,DIAS365('CALCULADORA TIL L-1'!$E$6,A137))</f>
        <v>3102</v>
      </c>
      <c r="C137" s="41">
        <f>+HLOOKUP('CALCULADORA TIL L-1'!$E$4,Tablas!$B$1:$B$181,Flujos!J137+1,FALSE)</f>
        <v>0</v>
      </c>
      <c r="D137" s="68">
        <f t="shared" si="22"/>
        <v>0</v>
      </c>
      <c r="E137" s="69">
        <f t="shared" si="23"/>
        <v>0</v>
      </c>
      <c r="F137" s="69">
        <f>ROUND(D136*ROUND(((1+'CALCULADORA TIL L-1'!$C$14)^(1/12)-1),6),6)</f>
        <v>0</v>
      </c>
      <c r="G137" s="69">
        <f t="shared" si="24"/>
        <v>0</v>
      </c>
      <c r="H137" s="70">
        <f>IF($B137=0,0,G137/POWER(1+'CALCULADORA TIL L-1'!$F$11,Flujos!$B137/365))</f>
        <v>0</v>
      </c>
      <c r="I137" s="71">
        <f t="shared" si="21"/>
        <v>46373</v>
      </c>
      <c r="J137" s="72">
        <v>135</v>
      </c>
      <c r="K137" s="73">
        <f t="shared" si="25"/>
        <v>4106</v>
      </c>
      <c r="L137" s="48">
        <f t="shared" si="26"/>
        <v>3.004E-05</v>
      </c>
      <c r="M137" s="74">
        <f t="shared" si="27"/>
        <v>0</v>
      </c>
      <c r="N137" s="74">
        <f t="shared" si="28"/>
        <v>1.6984616E-07</v>
      </c>
      <c r="O137" s="75">
        <f t="shared" si="29"/>
        <v>1.6984616E-07</v>
      </c>
    </row>
    <row r="138" spans="1:15" ht="12.75">
      <c r="A138" s="39">
        <f t="shared" si="20"/>
        <v>46404</v>
      </c>
      <c r="B138" s="67">
        <f>IF(DIAS365('CALCULADORA TIL L-1'!$E$6,A138)&lt;0,0,DIAS365('CALCULADORA TIL L-1'!$E$6,A138))</f>
        <v>3133</v>
      </c>
      <c r="C138" s="41">
        <f>+HLOOKUP('CALCULADORA TIL L-1'!$E$4,Tablas!$B$1:$B$181,Flujos!J138+1,FALSE)</f>
        <v>0</v>
      </c>
      <c r="D138" s="68">
        <f t="shared" si="22"/>
        <v>0</v>
      </c>
      <c r="E138" s="69">
        <f t="shared" si="23"/>
        <v>0</v>
      </c>
      <c r="F138" s="69">
        <f>ROUND(D137*ROUND(((1+'CALCULADORA TIL L-1'!$C$14)^(1/12)-1),6),6)</f>
        <v>0</v>
      </c>
      <c r="G138" s="69">
        <f t="shared" si="24"/>
        <v>0</v>
      </c>
      <c r="H138" s="70">
        <f>IF($B138=0,0,G138/POWER(1+'CALCULADORA TIL L-1'!$F$11,Flujos!$B138/365))</f>
        <v>0</v>
      </c>
      <c r="I138" s="71">
        <f t="shared" si="21"/>
        <v>46404</v>
      </c>
      <c r="J138" s="72">
        <v>136</v>
      </c>
      <c r="K138" s="73">
        <f t="shared" si="25"/>
        <v>4137</v>
      </c>
      <c r="L138" s="48">
        <f t="shared" si="26"/>
        <v>3.004E-05</v>
      </c>
      <c r="M138" s="74">
        <f t="shared" si="27"/>
        <v>0</v>
      </c>
      <c r="N138" s="74">
        <f t="shared" si="28"/>
        <v>1.6984616E-07</v>
      </c>
      <c r="O138" s="75">
        <f t="shared" si="29"/>
        <v>1.6984616E-07</v>
      </c>
    </row>
    <row r="139" spans="1:15" ht="12.75">
      <c r="A139" s="39">
        <f t="shared" si="20"/>
        <v>46435</v>
      </c>
      <c r="B139" s="67">
        <f>IF(DIAS365('CALCULADORA TIL L-1'!$E$6,A139)&lt;0,0,DIAS365('CALCULADORA TIL L-1'!$E$6,A139))</f>
        <v>3164</v>
      </c>
      <c r="C139" s="41">
        <f>+HLOOKUP('CALCULADORA TIL L-1'!$E$4,Tablas!$B$1:$B$181,Flujos!J139+1,FALSE)</f>
        <v>0</v>
      </c>
      <c r="D139" s="68">
        <f t="shared" si="22"/>
        <v>0</v>
      </c>
      <c r="E139" s="69">
        <f t="shared" si="23"/>
        <v>0</v>
      </c>
      <c r="F139" s="69">
        <f>ROUND(D138*ROUND(((1+'CALCULADORA TIL L-1'!$C$14)^(1/12)-1),6),6)</f>
        <v>0</v>
      </c>
      <c r="G139" s="69">
        <f t="shared" si="24"/>
        <v>0</v>
      </c>
      <c r="H139" s="70">
        <f>IF($B139=0,0,G139/POWER(1+'CALCULADORA TIL L-1'!$F$11,Flujos!$B139/365))</f>
        <v>0</v>
      </c>
      <c r="I139" s="71">
        <f t="shared" si="21"/>
        <v>46435</v>
      </c>
      <c r="J139" s="72">
        <v>137</v>
      </c>
      <c r="K139" s="73">
        <f t="shared" si="25"/>
        <v>4168</v>
      </c>
      <c r="L139" s="48">
        <f t="shared" si="26"/>
        <v>3.004E-05</v>
      </c>
      <c r="M139" s="74">
        <f t="shared" si="27"/>
        <v>0</v>
      </c>
      <c r="N139" s="74">
        <f t="shared" si="28"/>
        <v>1.6984616E-07</v>
      </c>
      <c r="O139" s="75">
        <f t="shared" si="29"/>
        <v>1.6984616E-07</v>
      </c>
    </row>
    <row r="140" spans="1:15" ht="12.75">
      <c r="A140" s="39">
        <f t="shared" si="20"/>
        <v>46463</v>
      </c>
      <c r="B140" s="67">
        <f>IF(DIAS365('CALCULADORA TIL L-1'!$E$6,A140)&lt;0,0,DIAS365('CALCULADORA TIL L-1'!$E$6,A140))</f>
        <v>3192</v>
      </c>
      <c r="C140" s="41">
        <f>+HLOOKUP('CALCULADORA TIL L-1'!$E$4,Tablas!$B$1:$B$181,Flujos!J140+1,FALSE)</f>
        <v>0</v>
      </c>
      <c r="D140" s="68">
        <f t="shared" si="22"/>
        <v>0</v>
      </c>
      <c r="E140" s="69">
        <f t="shared" si="23"/>
        <v>0</v>
      </c>
      <c r="F140" s="69">
        <f>ROUND(D139*ROUND(((1+'CALCULADORA TIL L-1'!$C$14)^(1/12)-1),6),6)</f>
        <v>0</v>
      </c>
      <c r="G140" s="69">
        <f t="shared" si="24"/>
        <v>0</v>
      </c>
      <c r="H140" s="70">
        <f>IF($B140=0,0,G140/POWER(1+'CALCULADORA TIL L-1'!$F$11,Flujos!$B140/365))</f>
        <v>0</v>
      </c>
      <c r="I140" s="71">
        <f t="shared" si="21"/>
        <v>46463</v>
      </c>
      <c r="J140" s="72">
        <v>138</v>
      </c>
      <c r="K140" s="73">
        <f t="shared" si="25"/>
        <v>4196</v>
      </c>
      <c r="L140" s="48">
        <f t="shared" si="26"/>
        <v>3.004E-05</v>
      </c>
      <c r="M140" s="74">
        <f t="shared" si="27"/>
        <v>0</v>
      </c>
      <c r="N140" s="74">
        <f t="shared" si="28"/>
        <v>1.6984616E-07</v>
      </c>
      <c r="O140" s="75">
        <f t="shared" si="29"/>
        <v>1.6984616E-07</v>
      </c>
    </row>
    <row r="141" spans="1:15" ht="12.75">
      <c r="A141" s="39">
        <f t="shared" si="20"/>
        <v>46494</v>
      </c>
      <c r="B141" s="67">
        <f>IF(DIAS365('CALCULADORA TIL L-1'!$E$6,A141)&lt;0,0,DIAS365('CALCULADORA TIL L-1'!$E$6,A141))</f>
        <v>3223</v>
      </c>
      <c r="C141" s="41">
        <f>+HLOOKUP('CALCULADORA TIL L-1'!$E$4,Tablas!$B$1:$B$181,Flujos!J141+1,FALSE)</f>
        <v>0</v>
      </c>
      <c r="D141" s="68">
        <f t="shared" si="22"/>
        <v>0</v>
      </c>
      <c r="E141" s="69">
        <f t="shared" si="23"/>
        <v>0</v>
      </c>
      <c r="F141" s="69">
        <f>ROUND(D140*ROUND(((1+'CALCULADORA TIL L-1'!$C$14)^(1/12)-1),6),6)</f>
        <v>0</v>
      </c>
      <c r="G141" s="69">
        <f t="shared" si="24"/>
        <v>0</v>
      </c>
      <c r="H141" s="70">
        <f>IF($B141=0,0,G141/POWER(1+'CALCULADORA TIL L-1'!$F$11,Flujos!$B141/365))</f>
        <v>0</v>
      </c>
      <c r="I141" s="71">
        <f t="shared" si="21"/>
        <v>46494</v>
      </c>
      <c r="J141" s="72">
        <v>139</v>
      </c>
      <c r="K141" s="73">
        <f t="shared" si="25"/>
        <v>4227</v>
      </c>
      <c r="L141" s="48">
        <f t="shared" si="26"/>
        <v>3.004E-05</v>
      </c>
      <c r="M141" s="74">
        <f t="shared" si="27"/>
        <v>0</v>
      </c>
      <c r="N141" s="74">
        <f t="shared" si="28"/>
        <v>1.6984616E-07</v>
      </c>
      <c r="O141" s="75">
        <f t="shared" si="29"/>
        <v>1.6984616E-07</v>
      </c>
    </row>
    <row r="142" spans="1:15" ht="12.75">
      <c r="A142" s="39">
        <f t="shared" si="20"/>
        <v>46524</v>
      </c>
      <c r="B142" s="67">
        <f>IF(DIAS365('CALCULADORA TIL L-1'!$E$6,A142)&lt;0,0,DIAS365('CALCULADORA TIL L-1'!$E$6,A142))</f>
        <v>3253</v>
      </c>
      <c r="C142" s="41">
        <f>+HLOOKUP('CALCULADORA TIL L-1'!$E$4,Tablas!$B$1:$B$181,Flujos!J142+1,FALSE)</f>
        <v>0</v>
      </c>
      <c r="D142" s="68">
        <f t="shared" si="22"/>
        <v>0</v>
      </c>
      <c r="E142" s="69">
        <f t="shared" si="23"/>
        <v>0</v>
      </c>
      <c r="F142" s="69">
        <f>ROUND(D141*ROUND(((1+'CALCULADORA TIL L-1'!$C$14)^(1/12)-1),6),6)</f>
        <v>0</v>
      </c>
      <c r="G142" s="69">
        <f t="shared" si="24"/>
        <v>0</v>
      </c>
      <c r="H142" s="70">
        <f>IF($B142=0,0,G142/POWER(1+'CALCULADORA TIL L-1'!$F$11,Flujos!$B142/365))</f>
        <v>0</v>
      </c>
      <c r="I142" s="71">
        <f t="shared" si="21"/>
        <v>46524</v>
      </c>
      <c r="J142" s="72">
        <v>140</v>
      </c>
      <c r="K142" s="73">
        <f t="shared" si="25"/>
        <v>4257</v>
      </c>
      <c r="L142" s="48">
        <f t="shared" si="26"/>
        <v>3.004E-05</v>
      </c>
      <c r="M142" s="74">
        <f t="shared" si="27"/>
        <v>0</v>
      </c>
      <c r="N142" s="74">
        <f t="shared" si="28"/>
        <v>1.6984616E-07</v>
      </c>
      <c r="O142" s="75">
        <f t="shared" si="29"/>
        <v>1.6984616E-07</v>
      </c>
    </row>
    <row r="143" spans="1:15" ht="12.75">
      <c r="A143" s="39">
        <f t="shared" si="20"/>
        <v>46555</v>
      </c>
      <c r="B143" s="67">
        <f>IF(DIAS365('CALCULADORA TIL L-1'!$E$6,A143)&lt;0,0,DIAS365('CALCULADORA TIL L-1'!$E$6,A143))</f>
        <v>3284</v>
      </c>
      <c r="C143" s="41">
        <f>+HLOOKUP('CALCULADORA TIL L-1'!$E$4,Tablas!$B$1:$B$181,Flujos!J143+1,FALSE)</f>
        <v>0</v>
      </c>
      <c r="D143" s="68">
        <f t="shared" si="22"/>
        <v>0</v>
      </c>
      <c r="E143" s="69">
        <f t="shared" si="23"/>
        <v>0</v>
      </c>
      <c r="F143" s="69">
        <f>ROUND(D142*ROUND(((1+'CALCULADORA TIL L-1'!$C$14)^(1/12)-1),6),6)</f>
        <v>0</v>
      </c>
      <c r="G143" s="69">
        <f t="shared" si="24"/>
        <v>0</v>
      </c>
      <c r="H143" s="70">
        <f>IF($B143=0,0,G143/POWER(1+'CALCULADORA TIL L-1'!$F$11,Flujos!$B143/365))</f>
        <v>0</v>
      </c>
      <c r="I143" s="71">
        <f t="shared" si="21"/>
        <v>46555</v>
      </c>
      <c r="J143" s="72">
        <v>141</v>
      </c>
      <c r="K143" s="73">
        <f t="shared" si="25"/>
        <v>4288</v>
      </c>
      <c r="L143" s="48">
        <f t="shared" si="26"/>
        <v>3.004E-05</v>
      </c>
      <c r="M143" s="74">
        <f t="shared" si="27"/>
        <v>0</v>
      </c>
      <c r="N143" s="74">
        <f t="shared" si="28"/>
        <v>1.6984616E-07</v>
      </c>
      <c r="O143" s="75">
        <f t="shared" si="29"/>
        <v>1.6984616E-07</v>
      </c>
    </row>
    <row r="144" spans="1:15" ht="12.75">
      <c r="A144" s="39">
        <f t="shared" si="20"/>
        <v>46585</v>
      </c>
      <c r="B144" s="67">
        <f>IF(DIAS365('CALCULADORA TIL L-1'!$E$6,A144)&lt;0,0,DIAS365('CALCULADORA TIL L-1'!$E$6,A144))</f>
        <v>3314</v>
      </c>
      <c r="C144" s="41">
        <f>+HLOOKUP('CALCULADORA TIL L-1'!$E$4,Tablas!$B$1:$B$181,Flujos!J144+1,FALSE)</f>
        <v>0</v>
      </c>
      <c r="D144" s="68">
        <f t="shared" si="22"/>
        <v>0</v>
      </c>
      <c r="E144" s="69">
        <f t="shared" si="23"/>
        <v>0</v>
      </c>
      <c r="F144" s="69">
        <f>ROUND(D143*ROUND(((1+'CALCULADORA TIL L-1'!$C$14)^(1/12)-1),6),6)</f>
        <v>0</v>
      </c>
      <c r="G144" s="69">
        <f t="shared" si="24"/>
        <v>0</v>
      </c>
      <c r="H144" s="70">
        <f>IF($B144=0,0,G144/POWER(1+'CALCULADORA TIL L-1'!$F$11,Flujos!$B144/365))</f>
        <v>0</v>
      </c>
      <c r="I144" s="71">
        <f t="shared" si="21"/>
        <v>46585</v>
      </c>
      <c r="J144" s="72">
        <v>142</v>
      </c>
      <c r="K144" s="73">
        <f t="shared" si="25"/>
        <v>4318</v>
      </c>
      <c r="L144" s="48">
        <f t="shared" si="26"/>
        <v>3.004E-05</v>
      </c>
      <c r="M144" s="74">
        <f t="shared" si="27"/>
        <v>0</v>
      </c>
      <c r="N144" s="74">
        <f t="shared" si="28"/>
        <v>1.6984616E-07</v>
      </c>
      <c r="O144" s="75">
        <f t="shared" si="29"/>
        <v>1.6984616E-07</v>
      </c>
    </row>
    <row r="145" spans="1:15" ht="12.75">
      <c r="A145" s="39">
        <f t="shared" si="20"/>
        <v>46616</v>
      </c>
      <c r="B145" s="67">
        <f>IF(DIAS365('CALCULADORA TIL L-1'!$E$6,A145)&lt;0,0,DIAS365('CALCULADORA TIL L-1'!$E$6,A145))</f>
        <v>3345</v>
      </c>
      <c r="C145" s="41">
        <f>+HLOOKUP('CALCULADORA TIL L-1'!$E$4,Tablas!$B$1:$B$181,Flujos!J145+1,FALSE)</f>
        <v>0</v>
      </c>
      <c r="D145" s="68">
        <f t="shared" si="22"/>
        <v>0</v>
      </c>
      <c r="E145" s="69">
        <f t="shared" si="23"/>
        <v>0</v>
      </c>
      <c r="F145" s="69">
        <f>ROUND(D144*ROUND(((1+'CALCULADORA TIL L-1'!$C$14)^(1/12)-1),6),6)</f>
        <v>0</v>
      </c>
      <c r="G145" s="69">
        <f t="shared" si="24"/>
        <v>0</v>
      </c>
      <c r="H145" s="70">
        <f>IF($B145=0,0,G145/POWER(1+'CALCULADORA TIL L-1'!$F$11,Flujos!$B145/365))</f>
        <v>0</v>
      </c>
      <c r="I145" s="71">
        <f t="shared" si="21"/>
        <v>46616</v>
      </c>
      <c r="J145" s="72">
        <v>143</v>
      </c>
      <c r="K145" s="73">
        <f t="shared" si="25"/>
        <v>4349</v>
      </c>
      <c r="L145" s="48">
        <f t="shared" si="26"/>
        <v>3.004E-05</v>
      </c>
      <c r="M145" s="74">
        <f t="shared" si="27"/>
        <v>0</v>
      </c>
      <c r="N145" s="74">
        <f t="shared" si="28"/>
        <v>1.6984616E-07</v>
      </c>
      <c r="O145" s="75">
        <f t="shared" si="29"/>
        <v>1.6984616E-07</v>
      </c>
    </row>
    <row r="146" spans="1:15" ht="12.75">
      <c r="A146" s="39">
        <f t="shared" si="20"/>
        <v>46647</v>
      </c>
      <c r="B146" s="67">
        <f>IF(DIAS365('CALCULADORA TIL L-1'!$E$6,A146)&lt;0,0,DIAS365('CALCULADORA TIL L-1'!$E$6,A146))</f>
        <v>3376</v>
      </c>
      <c r="C146" s="41">
        <f>+HLOOKUP('CALCULADORA TIL L-1'!$E$4,Tablas!$B$1:$B$181,Flujos!J146+1,FALSE)</f>
        <v>0</v>
      </c>
      <c r="D146" s="68">
        <f t="shared" si="22"/>
        <v>0</v>
      </c>
      <c r="E146" s="69">
        <f t="shared" si="23"/>
        <v>0</v>
      </c>
      <c r="F146" s="69">
        <f>ROUND(D145*ROUND(((1+'CALCULADORA TIL L-1'!$C$14)^(1/12)-1),6),6)</f>
        <v>0</v>
      </c>
      <c r="G146" s="69">
        <f t="shared" si="24"/>
        <v>0</v>
      </c>
      <c r="H146" s="70">
        <f>IF($B146=0,0,G146/POWER(1+'CALCULADORA TIL L-1'!$F$11,Flujos!$B146/365))</f>
        <v>0</v>
      </c>
      <c r="I146" s="71">
        <f t="shared" si="21"/>
        <v>46647</v>
      </c>
      <c r="J146" s="72">
        <v>144</v>
      </c>
      <c r="K146" s="73">
        <f t="shared" si="25"/>
        <v>4380</v>
      </c>
      <c r="L146" s="48">
        <f t="shared" si="26"/>
        <v>3.004E-05</v>
      </c>
      <c r="M146" s="74">
        <f t="shared" si="27"/>
        <v>0</v>
      </c>
      <c r="N146" s="74">
        <f t="shared" si="28"/>
        <v>1.6984616E-07</v>
      </c>
      <c r="O146" s="75">
        <f t="shared" si="29"/>
        <v>1.6984616E-07</v>
      </c>
    </row>
    <row r="147" spans="1:15" ht="12.75">
      <c r="A147" s="39">
        <f t="shared" si="20"/>
        <v>46677</v>
      </c>
      <c r="B147" s="67">
        <f>IF(DIAS365('CALCULADORA TIL L-1'!$E$6,A147)&lt;0,0,DIAS365('CALCULADORA TIL L-1'!$E$6,A147))</f>
        <v>3406</v>
      </c>
      <c r="C147" s="41">
        <f>+HLOOKUP('CALCULADORA TIL L-1'!$E$4,Tablas!$B$1:$B$181,Flujos!J147+1,FALSE)</f>
        <v>0</v>
      </c>
      <c r="D147" s="68">
        <f t="shared" si="22"/>
        <v>0</v>
      </c>
      <c r="E147" s="69">
        <f t="shared" si="23"/>
        <v>0</v>
      </c>
      <c r="F147" s="69">
        <f>ROUND(D146*ROUND(((1+'CALCULADORA TIL L-1'!$C$14)^(1/12)-1),6),6)</f>
        <v>0</v>
      </c>
      <c r="G147" s="69">
        <f t="shared" si="24"/>
        <v>0</v>
      </c>
      <c r="H147" s="70">
        <f>IF($B147=0,0,G147/POWER(1+'CALCULADORA TIL L-1'!$F$11,Flujos!$B147/365))</f>
        <v>0</v>
      </c>
      <c r="I147" s="71">
        <f t="shared" si="21"/>
        <v>46677</v>
      </c>
      <c r="J147" s="72">
        <v>145</v>
      </c>
      <c r="K147" s="73">
        <f t="shared" si="25"/>
        <v>4410</v>
      </c>
      <c r="L147" s="48">
        <f t="shared" si="26"/>
        <v>3.004E-05</v>
      </c>
      <c r="M147" s="74">
        <f t="shared" si="27"/>
        <v>0</v>
      </c>
      <c r="N147" s="74">
        <f t="shared" si="28"/>
        <v>1.6984616E-07</v>
      </c>
      <c r="O147" s="75">
        <f t="shared" si="29"/>
        <v>1.6984616E-07</v>
      </c>
    </row>
    <row r="148" spans="1:15" ht="12.75">
      <c r="A148" s="39">
        <f t="shared" si="20"/>
        <v>46708</v>
      </c>
      <c r="B148" s="67">
        <f>IF(DIAS365('CALCULADORA TIL L-1'!$E$6,A148)&lt;0,0,DIAS365('CALCULADORA TIL L-1'!$E$6,A148))</f>
        <v>3437</v>
      </c>
      <c r="C148" s="41">
        <f>+HLOOKUP('CALCULADORA TIL L-1'!$E$4,Tablas!$B$1:$B$181,Flujos!J148+1,FALSE)</f>
        <v>0</v>
      </c>
      <c r="D148" s="68">
        <f t="shared" si="22"/>
        <v>0</v>
      </c>
      <c r="E148" s="69">
        <f t="shared" si="23"/>
        <v>0</v>
      </c>
      <c r="F148" s="69">
        <f>ROUND(D147*ROUND(((1+'CALCULADORA TIL L-1'!$C$14)^(1/12)-1),6),6)</f>
        <v>0</v>
      </c>
      <c r="G148" s="69">
        <f t="shared" si="24"/>
        <v>0</v>
      </c>
      <c r="H148" s="70">
        <f>IF($B148=0,0,G148/POWER(1+'CALCULADORA TIL L-1'!$F$11,Flujos!$B148/365))</f>
        <v>0</v>
      </c>
      <c r="I148" s="71">
        <f t="shared" si="21"/>
        <v>46708</v>
      </c>
      <c r="J148" s="72">
        <v>146</v>
      </c>
      <c r="K148" s="73">
        <f t="shared" si="25"/>
        <v>4441</v>
      </c>
      <c r="L148" s="48">
        <f t="shared" si="26"/>
        <v>3.004E-05</v>
      </c>
      <c r="M148" s="74">
        <f t="shared" si="27"/>
        <v>0</v>
      </c>
      <c r="N148" s="74">
        <f t="shared" si="28"/>
        <v>1.6984616E-07</v>
      </c>
      <c r="O148" s="75">
        <f t="shared" si="29"/>
        <v>1.6984616E-07</v>
      </c>
    </row>
    <row r="149" spans="1:15" ht="12.75">
      <c r="A149" s="39">
        <f t="shared" si="20"/>
        <v>46738</v>
      </c>
      <c r="B149" s="67">
        <f>IF(DIAS365('CALCULADORA TIL L-1'!$E$6,A149)&lt;0,0,DIAS365('CALCULADORA TIL L-1'!$E$6,A149))</f>
        <v>3467</v>
      </c>
      <c r="C149" s="41">
        <f>+HLOOKUP('CALCULADORA TIL L-1'!$E$4,Tablas!$B$1:$B$181,Flujos!J149+1,FALSE)</f>
        <v>0</v>
      </c>
      <c r="D149" s="68">
        <f t="shared" si="22"/>
        <v>0</v>
      </c>
      <c r="E149" s="69">
        <f t="shared" si="23"/>
        <v>0</v>
      </c>
      <c r="F149" s="69">
        <f>ROUND(D148*ROUND(((1+'CALCULADORA TIL L-1'!$C$14)^(1/12)-1),6),6)</f>
        <v>0</v>
      </c>
      <c r="G149" s="69">
        <f t="shared" si="24"/>
        <v>0</v>
      </c>
      <c r="H149" s="70">
        <f>IF($B149=0,0,G149/POWER(1+'CALCULADORA TIL L-1'!$F$11,Flujos!$B149/365))</f>
        <v>0</v>
      </c>
      <c r="I149" s="71">
        <f t="shared" si="21"/>
        <v>46738</v>
      </c>
      <c r="J149" s="72">
        <v>147</v>
      </c>
      <c r="K149" s="73">
        <f t="shared" si="25"/>
        <v>4471</v>
      </c>
      <c r="L149" s="48">
        <f t="shared" si="26"/>
        <v>3.004E-05</v>
      </c>
      <c r="M149" s="74">
        <f t="shared" si="27"/>
        <v>0</v>
      </c>
      <c r="N149" s="74">
        <f t="shared" si="28"/>
        <v>1.6984616E-07</v>
      </c>
      <c r="O149" s="75">
        <f t="shared" si="29"/>
        <v>1.6984616E-07</v>
      </c>
    </row>
    <row r="150" spans="1:15" ht="12.75">
      <c r="A150" s="39">
        <f t="shared" si="20"/>
        <v>46769</v>
      </c>
      <c r="B150" s="67">
        <f>IF(DIAS365('CALCULADORA TIL L-1'!$E$6,A150)&lt;0,0,DIAS365('CALCULADORA TIL L-1'!$E$6,A150))</f>
        <v>3498</v>
      </c>
      <c r="C150" s="41">
        <f>+HLOOKUP('CALCULADORA TIL L-1'!$E$4,Tablas!$B$1:$B$181,Flujos!J150+1,FALSE)</f>
        <v>0</v>
      </c>
      <c r="D150" s="68">
        <f t="shared" si="22"/>
        <v>0</v>
      </c>
      <c r="E150" s="69">
        <f t="shared" si="23"/>
        <v>0</v>
      </c>
      <c r="F150" s="69">
        <f>ROUND(D149*ROUND(((1+'CALCULADORA TIL L-1'!$C$14)^(1/12)-1),6),6)</f>
        <v>0</v>
      </c>
      <c r="G150" s="69">
        <f t="shared" si="24"/>
        <v>0</v>
      </c>
      <c r="H150" s="70">
        <f>IF($B150=0,0,G150/POWER(1+'CALCULADORA TIL L-1'!$F$11,Flujos!$B150/365))</f>
        <v>0</v>
      </c>
      <c r="I150" s="71">
        <f t="shared" si="21"/>
        <v>46769</v>
      </c>
      <c r="J150" s="72">
        <v>148</v>
      </c>
      <c r="K150" s="73">
        <f t="shared" si="25"/>
        <v>4502</v>
      </c>
      <c r="L150" s="48">
        <f t="shared" si="26"/>
        <v>3.004E-05</v>
      </c>
      <c r="M150" s="74">
        <f t="shared" si="27"/>
        <v>0</v>
      </c>
      <c r="N150" s="74">
        <f t="shared" si="28"/>
        <v>1.6984616E-07</v>
      </c>
      <c r="O150" s="75">
        <f t="shared" si="29"/>
        <v>1.6984616E-07</v>
      </c>
    </row>
    <row r="151" spans="1:15" ht="12.75">
      <c r="A151" s="39">
        <f t="shared" si="20"/>
        <v>46800</v>
      </c>
      <c r="B151" s="67">
        <f>IF(DIAS365('CALCULADORA TIL L-1'!$E$6,A151)&lt;0,0,DIAS365('CALCULADORA TIL L-1'!$E$6,A151))</f>
        <v>3529</v>
      </c>
      <c r="C151" s="41">
        <f>+HLOOKUP('CALCULADORA TIL L-1'!$E$4,Tablas!$B$1:$B$181,Flujos!J151+1,FALSE)</f>
        <v>0</v>
      </c>
      <c r="D151" s="68">
        <f t="shared" si="22"/>
        <v>0</v>
      </c>
      <c r="E151" s="69">
        <f t="shared" si="23"/>
        <v>0</v>
      </c>
      <c r="F151" s="69">
        <f>ROUND(D150*ROUND(((1+'CALCULADORA TIL L-1'!$C$14)^(1/12)-1),6),6)</f>
        <v>0</v>
      </c>
      <c r="G151" s="69">
        <f t="shared" si="24"/>
        <v>0</v>
      </c>
      <c r="H151" s="70">
        <f>IF($B151=0,0,G151/POWER(1+'CALCULADORA TIL L-1'!$F$11,Flujos!$B151/365))</f>
        <v>0</v>
      </c>
      <c r="I151" s="71">
        <f t="shared" si="21"/>
        <v>46800</v>
      </c>
      <c r="J151" s="72">
        <v>149</v>
      </c>
      <c r="K151" s="73">
        <f t="shared" si="25"/>
        <v>4533</v>
      </c>
      <c r="L151" s="48">
        <f t="shared" si="26"/>
        <v>3.004E-05</v>
      </c>
      <c r="M151" s="74">
        <f t="shared" si="27"/>
        <v>0</v>
      </c>
      <c r="N151" s="74">
        <f t="shared" si="28"/>
        <v>1.6984616E-07</v>
      </c>
      <c r="O151" s="75">
        <f t="shared" si="29"/>
        <v>1.6984616E-07</v>
      </c>
    </row>
    <row r="152" spans="1:15" ht="12.75">
      <c r="A152" s="39">
        <f t="shared" si="20"/>
        <v>46829</v>
      </c>
      <c r="B152" s="67">
        <f>IF(DIAS365('CALCULADORA TIL L-1'!$E$6,A152)&lt;0,0,DIAS365('CALCULADORA TIL L-1'!$E$6,A152))</f>
        <v>3557</v>
      </c>
      <c r="C152" s="41">
        <f>+HLOOKUP('CALCULADORA TIL L-1'!$E$4,Tablas!$B$1:$B$181,Flujos!J152+1,FALSE)</f>
        <v>0</v>
      </c>
      <c r="D152" s="68">
        <f t="shared" si="22"/>
        <v>0</v>
      </c>
      <c r="E152" s="69">
        <f t="shared" si="23"/>
        <v>0</v>
      </c>
      <c r="F152" s="69">
        <f>ROUND(D151*ROUND(((1+'CALCULADORA TIL L-1'!$C$14)^(1/12)-1),6),6)</f>
        <v>0</v>
      </c>
      <c r="G152" s="69">
        <f t="shared" si="24"/>
        <v>0</v>
      </c>
      <c r="H152" s="70">
        <f>IF($B152=0,0,G152/POWER(1+'CALCULADORA TIL L-1'!$F$11,Flujos!$B152/365))</f>
        <v>0</v>
      </c>
      <c r="I152" s="71">
        <f t="shared" si="21"/>
        <v>46829</v>
      </c>
      <c r="J152" s="72">
        <v>150</v>
      </c>
      <c r="K152" s="73">
        <f t="shared" si="25"/>
        <v>4561</v>
      </c>
      <c r="L152" s="48">
        <f t="shared" si="26"/>
        <v>3.004E-05</v>
      </c>
      <c r="M152" s="74">
        <f t="shared" si="27"/>
        <v>0</v>
      </c>
      <c r="N152" s="74">
        <f t="shared" si="28"/>
        <v>1.6984616E-07</v>
      </c>
      <c r="O152" s="75">
        <f t="shared" si="29"/>
        <v>1.6984616E-07</v>
      </c>
    </row>
    <row r="153" spans="1:15" ht="12.75">
      <c r="A153" s="39">
        <f t="shared" si="20"/>
        <v>46860</v>
      </c>
      <c r="B153" s="67">
        <f>IF(DIAS365('CALCULADORA TIL L-1'!$E$6,A153)&lt;0,0,DIAS365('CALCULADORA TIL L-1'!$E$6,A153))</f>
        <v>3588</v>
      </c>
      <c r="C153" s="41">
        <f>+HLOOKUP('CALCULADORA TIL L-1'!$E$4,Tablas!$B$1:$B$181,Flujos!J153+1,FALSE)</f>
        <v>0</v>
      </c>
      <c r="D153" s="68">
        <f t="shared" si="22"/>
        <v>0</v>
      </c>
      <c r="E153" s="69">
        <f t="shared" si="23"/>
        <v>0</v>
      </c>
      <c r="F153" s="69">
        <f>ROUND(D152*ROUND(((1+'CALCULADORA TIL L-1'!$C$14)^(1/12)-1),6),6)</f>
        <v>0</v>
      </c>
      <c r="G153" s="69">
        <f t="shared" si="24"/>
        <v>0</v>
      </c>
      <c r="H153" s="70">
        <f>IF($B153=0,0,G153/POWER(1+'CALCULADORA TIL L-1'!$F$11,Flujos!$B153/365))</f>
        <v>0</v>
      </c>
      <c r="I153" s="71">
        <f t="shared" si="21"/>
        <v>46860</v>
      </c>
      <c r="J153" s="72">
        <v>151</v>
      </c>
      <c r="K153" s="73">
        <f t="shared" si="25"/>
        <v>4592</v>
      </c>
      <c r="L153" s="48">
        <f t="shared" si="26"/>
        <v>3.004E-05</v>
      </c>
      <c r="M153" s="74">
        <f t="shared" si="27"/>
        <v>0</v>
      </c>
      <c r="N153" s="74">
        <f t="shared" si="28"/>
        <v>1.6984616E-07</v>
      </c>
      <c r="O153" s="75">
        <f t="shared" si="29"/>
        <v>1.6984616E-07</v>
      </c>
    </row>
    <row r="154" spans="1:15" ht="12.75">
      <c r="A154" s="39">
        <f t="shared" si="20"/>
        <v>46890</v>
      </c>
      <c r="B154" s="67">
        <f>IF(DIAS365('CALCULADORA TIL L-1'!$E$6,A154)&lt;0,0,DIAS365('CALCULADORA TIL L-1'!$E$6,A154))</f>
        <v>3618</v>
      </c>
      <c r="C154" s="41">
        <f>+HLOOKUP('CALCULADORA TIL L-1'!$E$4,Tablas!$B$1:$B$181,Flujos!J154+1,FALSE)</f>
        <v>0</v>
      </c>
      <c r="D154" s="68">
        <f t="shared" si="22"/>
        <v>0</v>
      </c>
      <c r="E154" s="69">
        <f t="shared" si="23"/>
        <v>0</v>
      </c>
      <c r="F154" s="69">
        <f>ROUND(D153*ROUND(((1+'CALCULADORA TIL L-1'!$C$14)^(1/12)-1),6),6)</f>
        <v>0</v>
      </c>
      <c r="G154" s="69">
        <f t="shared" si="24"/>
        <v>0</v>
      </c>
      <c r="H154" s="70">
        <f>IF($B154=0,0,G154/POWER(1+'CALCULADORA TIL L-1'!$F$11,Flujos!$B154/365))</f>
        <v>0</v>
      </c>
      <c r="I154" s="71">
        <f t="shared" si="21"/>
        <v>46890</v>
      </c>
      <c r="J154" s="72">
        <v>152</v>
      </c>
      <c r="K154" s="73">
        <f t="shared" si="25"/>
        <v>4622</v>
      </c>
      <c r="L154" s="48">
        <f t="shared" si="26"/>
        <v>3.004E-05</v>
      </c>
      <c r="M154" s="74">
        <f t="shared" si="27"/>
        <v>0</v>
      </c>
      <c r="N154" s="74">
        <f t="shared" si="28"/>
        <v>1.6984616E-07</v>
      </c>
      <c r="O154" s="75">
        <f t="shared" si="29"/>
        <v>1.6984616E-07</v>
      </c>
    </row>
    <row r="155" spans="1:15" ht="12.75">
      <c r="A155" s="39">
        <f t="shared" si="20"/>
        <v>46921</v>
      </c>
      <c r="B155" s="67">
        <f>IF(DIAS365('CALCULADORA TIL L-1'!$E$6,A155)&lt;0,0,DIAS365('CALCULADORA TIL L-1'!$E$6,A155))</f>
        <v>3649</v>
      </c>
      <c r="C155" s="41">
        <f>+HLOOKUP('CALCULADORA TIL L-1'!$E$4,Tablas!$B$1:$B$181,Flujos!J155+1,FALSE)</f>
        <v>0</v>
      </c>
      <c r="D155" s="68">
        <f t="shared" si="22"/>
        <v>0</v>
      </c>
      <c r="E155" s="69">
        <f t="shared" si="23"/>
        <v>0</v>
      </c>
      <c r="F155" s="69">
        <f>ROUND(D154*ROUND(((1+'CALCULADORA TIL L-1'!$C$14)^(1/12)-1),6),6)</f>
        <v>0</v>
      </c>
      <c r="G155" s="69">
        <f t="shared" si="24"/>
        <v>0</v>
      </c>
      <c r="H155" s="70">
        <f>IF($B155=0,0,G155/POWER(1+'CALCULADORA TIL L-1'!$F$11,Flujos!$B155/365))</f>
        <v>0</v>
      </c>
      <c r="I155" s="71">
        <f t="shared" si="21"/>
        <v>46921</v>
      </c>
      <c r="J155" s="72">
        <v>153</v>
      </c>
      <c r="K155" s="73">
        <f t="shared" si="25"/>
        <v>4653</v>
      </c>
      <c r="L155" s="48">
        <f t="shared" si="26"/>
        <v>3.004E-05</v>
      </c>
      <c r="M155" s="74">
        <f t="shared" si="27"/>
        <v>0</v>
      </c>
      <c r="N155" s="74">
        <f t="shared" si="28"/>
        <v>1.6984616E-07</v>
      </c>
      <c r="O155" s="75">
        <f t="shared" si="29"/>
        <v>1.6984616E-07</v>
      </c>
    </row>
    <row r="156" spans="1:15" ht="12.75">
      <c r="A156" s="39">
        <f t="shared" si="20"/>
        <v>46951</v>
      </c>
      <c r="B156" s="67">
        <f>IF(DIAS365('CALCULADORA TIL L-1'!$E$6,A156)&lt;0,0,DIAS365('CALCULADORA TIL L-1'!$E$6,A156))</f>
        <v>3679</v>
      </c>
      <c r="C156" s="41">
        <f>+HLOOKUP('CALCULADORA TIL L-1'!$E$4,Tablas!$B$1:$B$181,Flujos!J156+1,FALSE)</f>
        <v>0</v>
      </c>
      <c r="D156" s="68">
        <f t="shared" si="22"/>
        <v>0</v>
      </c>
      <c r="E156" s="69">
        <f t="shared" si="23"/>
        <v>0</v>
      </c>
      <c r="F156" s="69">
        <f>ROUND(D155*ROUND(((1+'CALCULADORA TIL L-1'!$C$14)^(1/12)-1),6),6)</f>
        <v>0</v>
      </c>
      <c r="G156" s="69">
        <f t="shared" si="24"/>
        <v>0</v>
      </c>
      <c r="H156" s="70">
        <f>IF($B156=0,0,G156/POWER(1+'CALCULADORA TIL L-1'!$F$11,Flujos!$B156/365))</f>
        <v>0</v>
      </c>
      <c r="I156" s="71">
        <f t="shared" si="21"/>
        <v>46951</v>
      </c>
      <c r="J156" s="72">
        <v>154</v>
      </c>
      <c r="K156" s="73">
        <f t="shared" si="25"/>
        <v>4683</v>
      </c>
      <c r="L156" s="48">
        <f t="shared" si="26"/>
        <v>3.004E-05</v>
      </c>
      <c r="M156" s="74">
        <f t="shared" si="27"/>
        <v>0</v>
      </c>
      <c r="N156" s="74">
        <f t="shared" si="28"/>
        <v>1.6984616E-07</v>
      </c>
      <c r="O156" s="75">
        <f t="shared" si="29"/>
        <v>1.6984616E-07</v>
      </c>
    </row>
    <row r="157" spans="1:15" ht="12.75">
      <c r="A157" s="39">
        <f t="shared" si="20"/>
        <v>46982</v>
      </c>
      <c r="B157" s="67">
        <f>IF(DIAS365('CALCULADORA TIL L-1'!$E$6,A157)&lt;0,0,DIAS365('CALCULADORA TIL L-1'!$E$6,A157))</f>
        <v>3710</v>
      </c>
      <c r="C157" s="41">
        <f>+HLOOKUP('CALCULADORA TIL L-1'!$E$4,Tablas!$B$1:$B$181,Flujos!J157+1,FALSE)</f>
        <v>0</v>
      </c>
      <c r="D157" s="68">
        <f t="shared" si="22"/>
        <v>0</v>
      </c>
      <c r="E157" s="69">
        <f t="shared" si="23"/>
        <v>0</v>
      </c>
      <c r="F157" s="69">
        <f>ROUND(D156*ROUND(((1+'CALCULADORA TIL L-1'!$C$14)^(1/12)-1),6),6)</f>
        <v>0</v>
      </c>
      <c r="G157" s="69">
        <f t="shared" si="24"/>
        <v>0</v>
      </c>
      <c r="H157" s="70">
        <f>IF($B157=0,0,G157/POWER(1+'CALCULADORA TIL L-1'!$F$11,Flujos!$B157/365))</f>
        <v>0</v>
      </c>
      <c r="I157" s="71">
        <f t="shared" si="21"/>
        <v>46982</v>
      </c>
      <c r="J157" s="72">
        <v>155</v>
      </c>
      <c r="K157" s="73">
        <f t="shared" si="25"/>
        <v>4714</v>
      </c>
      <c r="L157" s="48">
        <f t="shared" si="26"/>
        <v>3.004E-05</v>
      </c>
      <c r="M157" s="74">
        <f t="shared" si="27"/>
        <v>0</v>
      </c>
      <c r="N157" s="74">
        <f t="shared" si="28"/>
        <v>1.6984616E-07</v>
      </c>
      <c r="O157" s="75">
        <f t="shared" si="29"/>
        <v>1.6984616E-07</v>
      </c>
    </row>
    <row r="158" spans="1:15" ht="12.75">
      <c r="A158" s="39">
        <f t="shared" si="20"/>
        <v>47013</v>
      </c>
      <c r="B158" s="67">
        <f>IF(DIAS365('CALCULADORA TIL L-1'!$E$6,A158)&lt;0,0,DIAS365('CALCULADORA TIL L-1'!$E$6,A158))</f>
        <v>3741</v>
      </c>
      <c r="C158" s="41">
        <f>+HLOOKUP('CALCULADORA TIL L-1'!$E$4,Tablas!$B$1:$B$181,Flujos!J158+1,FALSE)</f>
        <v>0</v>
      </c>
      <c r="D158" s="68">
        <f t="shared" si="22"/>
        <v>0</v>
      </c>
      <c r="E158" s="69">
        <f t="shared" si="23"/>
        <v>0</v>
      </c>
      <c r="F158" s="69">
        <f>ROUND(D157*ROUND(((1+'CALCULADORA TIL L-1'!$C$14)^(1/12)-1),6),6)</f>
        <v>0</v>
      </c>
      <c r="G158" s="69">
        <f t="shared" si="24"/>
        <v>0</v>
      </c>
      <c r="H158" s="70">
        <f>IF($B158=0,0,G158/POWER(1+'CALCULADORA TIL L-1'!$F$11,Flujos!$B158/365))</f>
        <v>0</v>
      </c>
      <c r="I158" s="71">
        <f t="shared" si="21"/>
        <v>47013</v>
      </c>
      <c r="J158" s="72">
        <v>156</v>
      </c>
      <c r="K158" s="73">
        <f t="shared" si="25"/>
        <v>4745</v>
      </c>
      <c r="L158" s="48">
        <f t="shared" si="26"/>
        <v>3.004E-05</v>
      </c>
      <c r="M158" s="74">
        <f t="shared" si="27"/>
        <v>0</v>
      </c>
      <c r="N158" s="74">
        <f t="shared" si="28"/>
        <v>1.6984616E-07</v>
      </c>
      <c r="O158" s="75">
        <f t="shared" si="29"/>
        <v>1.6984616E-07</v>
      </c>
    </row>
    <row r="159" spans="1:15" ht="12.75">
      <c r="A159" s="39">
        <f t="shared" si="20"/>
        <v>47043</v>
      </c>
      <c r="B159" s="67">
        <f>IF(DIAS365('CALCULADORA TIL L-1'!$E$6,A159)&lt;0,0,DIAS365('CALCULADORA TIL L-1'!$E$6,A159))</f>
        <v>3771</v>
      </c>
      <c r="C159" s="41">
        <f>+HLOOKUP('CALCULADORA TIL L-1'!$E$4,Tablas!$B$1:$B$181,Flujos!J159+1,FALSE)</f>
        <v>0</v>
      </c>
      <c r="D159" s="68">
        <f t="shared" si="22"/>
        <v>0</v>
      </c>
      <c r="E159" s="69">
        <f t="shared" si="23"/>
        <v>0</v>
      </c>
      <c r="F159" s="69">
        <f>ROUND(D158*ROUND(((1+'CALCULADORA TIL L-1'!$C$14)^(1/12)-1),6),6)</f>
        <v>0</v>
      </c>
      <c r="G159" s="69">
        <f t="shared" si="24"/>
        <v>0</v>
      </c>
      <c r="H159" s="70">
        <f>IF($B159=0,0,G159/POWER(1+'CALCULADORA TIL L-1'!$F$11,Flujos!$B159/365))</f>
        <v>0</v>
      </c>
      <c r="I159" s="71">
        <f t="shared" si="21"/>
        <v>47043</v>
      </c>
      <c r="J159" s="72">
        <v>157</v>
      </c>
      <c r="K159" s="73">
        <f t="shared" si="25"/>
        <v>4775</v>
      </c>
      <c r="L159" s="48">
        <f t="shared" si="26"/>
        <v>3.004E-05</v>
      </c>
      <c r="M159" s="74">
        <f t="shared" si="27"/>
        <v>0</v>
      </c>
      <c r="N159" s="74">
        <f t="shared" si="28"/>
        <v>1.6984616E-07</v>
      </c>
      <c r="O159" s="75">
        <f t="shared" si="29"/>
        <v>1.6984616E-07</v>
      </c>
    </row>
    <row r="160" spans="1:15" ht="12.75">
      <c r="A160" s="39">
        <f t="shared" si="20"/>
        <v>47074</v>
      </c>
      <c r="B160" s="67">
        <f>IF(DIAS365('CALCULADORA TIL L-1'!$E$6,A160)&lt;0,0,DIAS365('CALCULADORA TIL L-1'!$E$6,A160))</f>
        <v>3802</v>
      </c>
      <c r="C160" s="41">
        <f>+HLOOKUP('CALCULADORA TIL L-1'!$E$4,Tablas!$B$1:$B$181,Flujos!J160+1,FALSE)</f>
        <v>0</v>
      </c>
      <c r="D160" s="68">
        <f t="shared" si="22"/>
        <v>0</v>
      </c>
      <c r="E160" s="69">
        <f t="shared" si="23"/>
        <v>0</v>
      </c>
      <c r="F160" s="69">
        <f>ROUND(D159*ROUND(((1+'CALCULADORA TIL L-1'!$C$14)^(1/12)-1),6),6)</f>
        <v>0</v>
      </c>
      <c r="G160" s="69">
        <f t="shared" si="24"/>
        <v>0</v>
      </c>
      <c r="H160" s="70">
        <f>IF($B160=0,0,G160/POWER(1+'CALCULADORA TIL L-1'!$F$11,Flujos!$B160/365))</f>
        <v>0</v>
      </c>
      <c r="I160" s="71">
        <f t="shared" si="21"/>
        <v>47074</v>
      </c>
      <c r="J160" s="72">
        <v>158</v>
      </c>
      <c r="K160" s="73">
        <f t="shared" si="25"/>
        <v>4806</v>
      </c>
      <c r="L160" s="48">
        <f t="shared" si="26"/>
        <v>3.004E-05</v>
      </c>
      <c r="M160" s="74">
        <f t="shared" si="27"/>
        <v>0</v>
      </c>
      <c r="N160" s="74">
        <f t="shared" si="28"/>
        <v>1.6984616E-07</v>
      </c>
      <c r="O160" s="75">
        <f t="shared" si="29"/>
        <v>1.6984616E-07</v>
      </c>
    </row>
    <row r="161" spans="1:15" ht="12.75">
      <c r="A161" s="39">
        <f t="shared" si="20"/>
        <v>47104</v>
      </c>
      <c r="B161" s="67">
        <f>IF(DIAS365('CALCULADORA TIL L-1'!$E$6,A161)&lt;0,0,DIAS365('CALCULADORA TIL L-1'!$E$6,A161))</f>
        <v>3832</v>
      </c>
      <c r="C161" s="41">
        <f>+HLOOKUP('CALCULADORA TIL L-1'!$E$4,Tablas!$B$1:$B$181,Flujos!J161+1,FALSE)</f>
        <v>0</v>
      </c>
      <c r="D161" s="68">
        <f t="shared" si="22"/>
        <v>0</v>
      </c>
      <c r="E161" s="69">
        <f t="shared" si="23"/>
        <v>0</v>
      </c>
      <c r="F161" s="69">
        <f>ROUND(D160*ROUND(((1+'CALCULADORA TIL L-1'!$C$14)^(1/12)-1),6),6)</f>
        <v>0</v>
      </c>
      <c r="G161" s="69">
        <f t="shared" si="24"/>
        <v>0</v>
      </c>
      <c r="H161" s="70">
        <f>IF($B161=0,0,G161/POWER(1+'CALCULADORA TIL L-1'!$F$11,Flujos!$B161/365))</f>
        <v>0</v>
      </c>
      <c r="I161" s="71">
        <f t="shared" si="21"/>
        <v>47104</v>
      </c>
      <c r="J161" s="72">
        <v>159</v>
      </c>
      <c r="K161" s="73">
        <f t="shared" si="25"/>
        <v>4836</v>
      </c>
      <c r="L161" s="48">
        <f t="shared" si="26"/>
        <v>3.004E-05</v>
      </c>
      <c r="M161" s="74">
        <f t="shared" si="27"/>
        <v>0</v>
      </c>
      <c r="N161" s="74">
        <f t="shared" si="28"/>
        <v>1.6984616E-07</v>
      </c>
      <c r="O161" s="75">
        <f t="shared" si="29"/>
        <v>1.6984616E-07</v>
      </c>
    </row>
    <row r="162" spans="1:15" ht="12.75">
      <c r="A162" s="39">
        <f t="shared" si="20"/>
        <v>47135</v>
      </c>
      <c r="B162" s="67">
        <f>IF(DIAS365('CALCULADORA TIL L-1'!$E$6,A162)&lt;0,0,DIAS365('CALCULADORA TIL L-1'!$E$6,A162))</f>
        <v>3863</v>
      </c>
      <c r="C162" s="41">
        <f>+HLOOKUP('CALCULADORA TIL L-1'!$E$4,Tablas!$B$1:$B$181,Flujos!J162+1,FALSE)</f>
        <v>0</v>
      </c>
      <c r="D162" s="68">
        <f t="shared" si="22"/>
        <v>0</v>
      </c>
      <c r="E162" s="69">
        <f t="shared" si="23"/>
        <v>0</v>
      </c>
      <c r="F162" s="69">
        <f>ROUND(D161*ROUND(((1+'CALCULADORA TIL L-1'!$C$14)^(1/12)-1),6),6)</f>
        <v>0</v>
      </c>
      <c r="G162" s="69">
        <f t="shared" si="24"/>
        <v>0</v>
      </c>
      <c r="H162" s="70">
        <f>IF($B162=0,0,G162/POWER(1+'CALCULADORA TIL L-1'!$F$11,Flujos!$B162/365))</f>
        <v>0</v>
      </c>
      <c r="I162" s="71">
        <f t="shared" si="21"/>
        <v>47135</v>
      </c>
      <c r="J162" s="72">
        <v>160</v>
      </c>
      <c r="K162" s="73">
        <f t="shared" si="25"/>
        <v>4867</v>
      </c>
      <c r="L162" s="48">
        <f t="shared" si="26"/>
        <v>3.004E-05</v>
      </c>
      <c r="M162" s="74">
        <f t="shared" si="27"/>
        <v>0</v>
      </c>
      <c r="N162" s="74">
        <f t="shared" si="28"/>
        <v>1.6984616E-07</v>
      </c>
      <c r="O162" s="75">
        <f t="shared" si="29"/>
        <v>1.6984616E-07</v>
      </c>
    </row>
    <row r="163" spans="1:15" ht="12.75">
      <c r="A163" s="39">
        <f t="shared" si="20"/>
        <v>47166</v>
      </c>
      <c r="B163" s="67">
        <f>IF(DIAS365('CALCULADORA TIL L-1'!$E$6,A163)&lt;0,0,DIAS365('CALCULADORA TIL L-1'!$E$6,A163))</f>
        <v>3894</v>
      </c>
      <c r="C163" s="41">
        <f>+HLOOKUP('CALCULADORA TIL L-1'!$E$4,Tablas!$B$1:$B$181,Flujos!J163+1,FALSE)</f>
        <v>0</v>
      </c>
      <c r="D163" s="68">
        <f t="shared" si="22"/>
        <v>0</v>
      </c>
      <c r="E163" s="69">
        <f t="shared" si="23"/>
        <v>0</v>
      </c>
      <c r="F163" s="69">
        <f>ROUND(D162*ROUND(((1+'CALCULADORA TIL L-1'!$C$14)^(1/12)-1),6),6)</f>
        <v>0</v>
      </c>
      <c r="G163" s="69">
        <f t="shared" si="24"/>
        <v>0</v>
      </c>
      <c r="H163" s="70">
        <f>IF($B163=0,0,G163/POWER(1+'CALCULADORA TIL L-1'!$F$11,Flujos!$B163/365))</f>
        <v>0</v>
      </c>
      <c r="I163" s="71">
        <f t="shared" si="21"/>
        <v>47166</v>
      </c>
      <c r="J163" s="72">
        <v>161</v>
      </c>
      <c r="K163" s="73">
        <f t="shared" si="25"/>
        <v>4898</v>
      </c>
      <c r="L163" s="48">
        <f t="shared" si="26"/>
        <v>3.004E-05</v>
      </c>
      <c r="M163" s="74">
        <f t="shared" si="27"/>
        <v>0</v>
      </c>
      <c r="N163" s="74">
        <f t="shared" si="28"/>
        <v>1.6984616E-07</v>
      </c>
      <c r="O163" s="75">
        <f t="shared" si="29"/>
        <v>1.6984616E-07</v>
      </c>
    </row>
    <row r="164" spans="1:15" ht="12.75">
      <c r="A164" s="39">
        <f t="shared" si="20"/>
        <v>47194</v>
      </c>
      <c r="B164" s="67">
        <f>IF(DIAS365('CALCULADORA TIL L-1'!$E$6,A164)&lt;0,0,DIAS365('CALCULADORA TIL L-1'!$E$6,A164))</f>
        <v>3922</v>
      </c>
      <c r="C164" s="41">
        <f>+HLOOKUP('CALCULADORA TIL L-1'!$E$4,Tablas!$B$1:$B$181,Flujos!J164+1,FALSE)</f>
        <v>0</v>
      </c>
      <c r="D164" s="68">
        <f t="shared" si="22"/>
        <v>0</v>
      </c>
      <c r="E164" s="69">
        <f t="shared" si="23"/>
        <v>0</v>
      </c>
      <c r="F164" s="69">
        <f>ROUND(D163*ROUND(((1+'CALCULADORA TIL L-1'!$C$14)^(1/12)-1),6),6)</f>
        <v>0</v>
      </c>
      <c r="G164" s="69">
        <f t="shared" si="24"/>
        <v>0</v>
      </c>
      <c r="H164" s="70">
        <f>IF($B164=0,0,G164/POWER(1+'CALCULADORA TIL L-1'!$F$11,Flujos!$B164/365))</f>
        <v>0</v>
      </c>
      <c r="I164" s="71">
        <f t="shared" si="21"/>
        <v>47194</v>
      </c>
      <c r="J164" s="72">
        <v>162</v>
      </c>
      <c r="K164" s="73">
        <f t="shared" si="25"/>
        <v>4926</v>
      </c>
      <c r="L164" s="48">
        <f t="shared" si="26"/>
        <v>3.004E-05</v>
      </c>
      <c r="M164" s="74">
        <f t="shared" si="27"/>
        <v>0</v>
      </c>
      <c r="N164" s="74">
        <f t="shared" si="28"/>
        <v>1.6984616E-07</v>
      </c>
      <c r="O164" s="75">
        <f t="shared" si="29"/>
        <v>1.6984616E-07</v>
      </c>
    </row>
    <row r="165" spans="1:15" ht="12.75">
      <c r="A165" s="39">
        <f t="shared" si="20"/>
        <v>47225</v>
      </c>
      <c r="B165" s="67">
        <f>IF(DIAS365('CALCULADORA TIL L-1'!$E$6,A165)&lt;0,0,DIAS365('CALCULADORA TIL L-1'!$E$6,A165))</f>
        <v>3953</v>
      </c>
      <c r="C165" s="41">
        <f>+HLOOKUP('CALCULADORA TIL L-1'!$E$4,Tablas!$B$1:$B$181,Flujos!J165+1,FALSE)</f>
        <v>0</v>
      </c>
      <c r="D165" s="68">
        <f t="shared" si="22"/>
        <v>0</v>
      </c>
      <c r="E165" s="69">
        <f t="shared" si="23"/>
        <v>0</v>
      </c>
      <c r="F165" s="69">
        <f>ROUND(D164*ROUND(((1+'CALCULADORA TIL L-1'!$C$14)^(1/12)-1),6),6)</f>
        <v>0</v>
      </c>
      <c r="G165" s="69">
        <f t="shared" si="24"/>
        <v>0</v>
      </c>
      <c r="H165" s="70">
        <f>IF($B165=0,0,G165/POWER(1+'CALCULADORA TIL L-1'!$F$11,Flujos!$B165/365))</f>
        <v>0</v>
      </c>
      <c r="I165" s="71">
        <f t="shared" si="21"/>
        <v>47225</v>
      </c>
      <c r="J165" s="72">
        <v>163</v>
      </c>
      <c r="K165" s="73">
        <f t="shared" si="25"/>
        <v>4957</v>
      </c>
      <c r="L165" s="48">
        <f t="shared" si="26"/>
        <v>3.004E-05</v>
      </c>
      <c r="M165" s="74">
        <f t="shared" si="27"/>
        <v>0</v>
      </c>
      <c r="N165" s="74">
        <f t="shared" si="28"/>
        <v>1.6984616E-07</v>
      </c>
      <c r="O165" s="75">
        <f t="shared" si="29"/>
        <v>1.6984616E-07</v>
      </c>
    </row>
    <row r="166" spans="1:15" ht="12.75">
      <c r="A166" s="39">
        <f t="shared" si="20"/>
        <v>47255</v>
      </c>
      <c r="B166" s="67">
        <f>IF(DIAS365('CALCULADORA TIL L-1'!$E$6,A166)&lt;0,0,DIAS365('CALCULADORA TIL L-1'!$E$6,A166))</f>
        <v>3983</v>
      </c>
      <c r="C166" s="41">
        <f>+HLOOKUP('CALCULADORA TIL L-1'!$E$4,Tablas!$B$1:$B$181,Flujos!J166+1,FALSE)</f>
        <v>0</v>
      </c>
      <c r="D166" s="68">
        <f t="shared" si="22"/>
        <v>0</v>
      </c>
      <c r="E166" s="69">
        <f t="shared" si="23"/>
        <v>0</v>
      </c>
      <c r="F166" s="69">
        <f>ROUND(D165*ROUND(((1+'CALCULADORA TIL L-1'!$C$14)^(1/12)-1),6),6)</f>
        <v>0</v>
      </c>
      <c r="G166" s="69">
        <f t="shared" si="24"/>
        <v>0</v>
      </c>
      <c r="H166" s="70">
        <f>IF($B166=0,0,G166/POWER(1+'CALCULADORA TIL L-1'!$F$11,Flujos!$B166/365))</f>
        <v>0</v>
      </c>
      <c r="I166" s="71">
        <f t="shared" si="21"/>
        <v>47255</v>
      </c>
      <c r="J166" s="72">
        <v>164</v>
      </c>
      <c r="K166" s="73">
        <f t="shared" si="25"/>
        <v>4987</v>
      </c>
      <c r="L166" s="48">
        <f t="shared" si="26"/>
        <v>3.004E-05</v>
      </c>
      <c r="M166" s="74">
        <f t="shared" si="27"/>
        <v>0</v>
      </c>
      <c r="N166" s="74">
        <f t="shared" si="28"/>
        <v>1.6984616E-07</v>
      </c>
      <c r="O166" s="75">
        <f t="shared" si="29"/>
        <v>1.6984616E-07</v>
      </c>
    </row>
    <row r="167" spans="1:15" ht="12.75">
      <c r="A167" s="39">
        <f t="shared" si="20"/>
        <v>47286</v>
      </c>
      <c r="B167" s="67">
        <f>IF(DIAS365('CALCULADORA TIL L-1'!$E$6,A167)&lt;0,0,DIAS365('CALCULADORA TIL L-1'!$E$6,A167))</f>
        <v>4014</v>
      </c>
      <c r="C167" s="41">
        <f>+HLOOKUP('CALCULADORA TIL L-1'!$E$4,Tablas!$B$1:$B$181,Flujos!J167+1,FALSE)</f>
        <v>0</v>
      </c>
      <c r="D167" s="68">
        <f t="shared" si="22"/>
        <v>0</v>
      </c>
      <c r="E167" s="69">
        <f t="shared" si="23"/>
        <v>0</v>
      </c>
      <c r="F167" s="69">
        <f>ROUND(D166*ROUND(((1+'CALCULADORA TIL L-1'!$C$14)^(1/12)-1),6),6)</f>
        <v>0</v>
      </c>
      <c r="G167" s="69">
        <f t="shared" si="24"/>
        <v>0</v>
      </c>
      <c r="H167" s="70">
        <f>IF($B167=0,0,G167/POWER(1+'CALCULADORA TIL L-1'!$F$11,Flujos!$B167/365))</f>
        <v>0</v>
      </c>
      <c r="I167" s="71">
        <f t="shared" si="21"/>
        <v>47286</v>
      </c>
      <c r="J167" s="72">
        <v>165</v>
      </c>
      <c r="K167" s="73">
        <f t="shared" si="25"/>
        <v>5018</v>
      </c>
      <c r="L167" s="48">
        <f t="shared" si="26"/>
        <v>3.004E-05</v>
      </c>
      <c r="M167" s="74">
        <f t="shared" si="27"/>
        <v>0</v>
      </c>
      <c r="N167" s="74">
        <f t="shared" si="28"/>
        <v>1.6984616E-07</v>
      </c>
      <c r="O167" s="75">
        <f t="shared" si="29"/>
        <v>1.6984616E-07</v>
      </c>
    </row>
    <row r="168" spans="1:15" ht="12.75">
      <c r="A168" s="39">
        <f t="shared" si="20"/>
        <v>47316</v>
      </c>
      <c r="B168" s="67">
        <f>IF(DIAS365('CALCULADORA TIL L-1'!$E$6,A168)&lt;0,0,DIAS365('CALCULADORA TIL L-1'!$E$6,A168))</f>
        <v>4044</v>
      </c>
      <c r="C168" s="41">
        <f>+HLOOKUP('CALCULADORA TIL L-1'!$E$4,Tablas!$B$1:$B$181,Flujos!J168+1,FALSE)</f>
        <v>0</v>
      </c>
      <c r="D168" s="68">
        <f t="shared" si="22"/>
        <v>0</v>
      </c>
      <c r="E168" s="69">
        <f t="shared" si="23"/>
        <v>0</v>
      </c>
      <c r="F168" s="69">
        <f>ROUND(D167*ROUND(((1+'CALCULADORA TIL L-1'!$C$14)^(1/12)-1),6),6)</f>
        <v>0</v>
      </c>
      <c r="G168" s="69">
        <f t="shared" si="24"/>
        <v>0</v>
      </c>
      <c r="H168" s="70">
        <f>IF($B168=0,0,G168/POWER(1+'CALCULADORA TIL L-1'!$F$11,Flujos!$B168/365))</f>
        <v>0</v>
      </c>
      <c r="I168" s="71">
        <f t="shared" si="21"/>
        <v>47316</v>
      </c>
      <c r="J168" s="72">
        <v>166</v>
      </c>
      <c r="K168" s="73">
        <f t="shared" si="25"/>
        <v>5048</v>
      </c>
      <c r="L168" s="48">
        <f t="shared" si="26"/>
        <v>3.004E-05</v>
      </c>
      <c r="M168" s="74">
        <f t="shared" si="27"/>
        <v>0</v>
      </c>
      <c r="N168" s="74">
        <f t="shared" si="28"/>
        <v>1.6984616E-07</v>
      </c>
      <c r="O168" s="75">
        <f t="shared" si="29"/>
        <v>1.6984616E-07</v>
      </c>
    </row>
    <row r="169" spans="1:15" ht="12.75">
      <c r="A169" s="39">
        <f t="shared" si="20"/>
        <v>47347</v>
      </c>
      <c r="B169" s="67">
        <f>IF(DIAS365('CALCULADORA TIL L-1'!$E$6,A169)&lt;0,0,DIAS365('CALCULADORA TIL L-1'!$E$6,A169))</f>
        <v>4075</v>
      </c>
      <c r="C169" s="41">
        <f>+HLOOKUP('CALCULADORA TIL L-1'!$E$4,Tablas!$B$1:$B$181,Flujos!J169+1,FALSE)</f>
        <v>0</v>
      </c>
      <c r="D169" s="68">
        <f t="shared" si="22"/>
        <v>0</v>
      </c>
      <c r="E169" s="69">
        <f t="shared" si="23"/>
        <v>0</v>
      </c>
      <c r="F169" s="69">
        <f>ROUND(D168*ROUND(((1+'CALCULADORA TIL L-1'!$C$14)^(1/12)-1),6),6)</f>
        <v>0</v>
      </c>
      <c r="G169" s="69">
        <f t="shared" si="24"/>
        <v>0</v>
      </c>
      <c r="H169" s="70">
        <f>IF($B169=0,0,G169/POWER(1+'CALCULADORA TIL L-1'!$F$11,Flujos!$B169/365))</f>
        <v>0</v>
      </c>
      <c r="I169" s="71">
        <f t="shared" si="21"/>
        <v>47347</v>
      </c>
      <c r="J169" s="72">
        <v>167</v>
      </c>
      <c r="K169" s="73">
        <f t="shared" si="25"/>
        <v>5079</v>
      </c>
      <c r="L169" s="48">
        <f t="shared" si="26"/>
        <v>3.004E-05</v>
      </c>
      <c r="M169" s="74">
        <f t="shared" si="27"/>
        <v>0</v>
      </c>
      <c r="N169" s="74">
        <f t="shared" si="28"/>
        <v>1.6984616E-07</v>
      </c>
      <c r="O169" s="75">
        <f t="shared" si="29"/>
        <v>1.6984616E-07</v>
      </c>
    </row>
    <row r="170" spans="1:15" ht="12.75">
      <c r="A170" s="39">
        <f t="shared" si="20"/>
        <v>47378</v>
      </c>
      <c r="B170" s="67">
        <f>IF(DIAS365('CALCULADORA TIL L-1'!$E$6,A170)&lt;0,0,DIAS365('CALCULADORA TIL L-1'!$E$6,A170))</f>
        <v>4106</v>
      </c>
      <c r="C170" s="41">
        <f>+HLOOKUP('CALCULADORA TIL L-1'!$E$4,Tablas!$B$1:$B$181,Flujos!J170+1,FALSE)</f>
        <v>0</v>
      </c>
      <c r="D170" s="68">
        <f t="shared" si="22"/>
        <v>0</v>
      </c>
      <c r="E170" s="69">
        <f t="shared" si="23"/>
        <v>0</v>
      </c>
      <c r="F170" s="69">
        <f>ROUND(D169*ROUND(((1+'CALCULADORA TIL L-1'!$C$14)^(1/12)-1),6),6)</f>
        <v>0</v>
      </c>
      <c r="G170" s="69">
        <f t="shared" si="24"/>
        <v>0</v>
      </c>
      <c r="H170" s="70">
        <f>IF($B170=0,0,G170/POWER(1+'CALCULADORA TIL L-1'!$F$11,Flujos!$B170/365))</f>
        <v>0</v>
      </c>
      <c r="I170" s="71">
        <f t="shared" si="21"/>
        <v>47378</v>
      </c>
      <c r="J170" s="72">
        <v>168</v>
      </c>
      <c r="K170" s="73">
        <f t="shared" si="25"/>
        <v>5110</v>
      </c>
      <c r="L170" s="48">
        <f t="shared" si="26"/>
        <v>3.004E-05</v>
      </c>
      <c r="M170" s="74">
        <f t="shared" si="27"/>
        <v>0</v>
      </c>
      <c r="N170" s="74">
        <f t="shared" si="28"/>
        <v>1.6984616E-07</v>
      </c>
      <c r="O170" s="75">
        <f t="shared" si="29"/>
        <v>1.6984616E-07</v>
      </c>
    </row>
    <row r="171" spans="1:15" ht="12.75">
      <c r="A171" s="39">
        <f t="shared" si="20"/>
        <v>47408</v>
      </c>
      <c r="B171" s="67">
        <f>IF(DIAS365('CALCULADORA TIL L-1'!$E$6,A171)&lt;0,0,DIAS365('CALCULADORA TIL L-1'!$E$6,A171))</f>
        <v>4136</v>
      </c>
      <c r="C171" s="41">
        <f>+HLOOKUP('CALCULADORA TIL L-1'!$E$4,Tablas!$B$1:$B$181,Flujos!J171+1,FALSE)</f>
        <v>0</v>
      </c>
      <c r="D171" s="68">
        <f t="shared" si="22"/>
        <v>0</v>
      </c>
      <c r="E171" s="69">
        <f t="shared" si="23"/>
        <v>0</v>
      </c>
      <c r="F171" s="69">
        <f>ROUND(D170*ROUND(((1+'CALCULADORA TIL L-1'!$C$14)^(1/12)-1),6),6)</f>
        <v>0</v>
      </c>
      <c r="G171" s="69">
        <f t="shared" si="24"/>
        <v>0</v>
      </c>
      <c r="H171" s="70">
        <f>IF($B171=0,0,G171/POWER(1+'CALCULADORA TIL L-1'!$F$11,Flujos!$B171/365))</f>
        <v>0</v>
      </c>
      <c r="I171" s="71">
        <f t="shared" si="21"/>
        <v>47408</v>
      </c>
      <c r="J171" s="72">
        <v>169</v>
      </c>
      <c r="K171" s="73">
        <f t="shared" si="25"/>
        <v>5140</v>
      </c>
      <c r="L171" s="48">
        <f t="shared" si="26"/>
        <v>3.004E-05</v>
      </c>
      <c r="M171" s="74">
        <f t="shared" si="27"/>
        <v>0</v>
      </c>
      <c r="N171" s="74">
        <f t="shared" si="28"/>
        <v>1.6984616E-07</v>
      </c>
      <c r="O171" s="75">
        <f t="shared" si="29"/>
        <v>1.6984616E-07</v>
      </c>
    </row>
    <row r="172" spans="1:15" ht="12.75">
      <c r="A172" s="39">
        <f t="shared" si="20"/>
        <v>47439</v>
      </c>
      <c r="B172" s="67">
        <f>IF(DIAS365('CALCULADORA TIL L-1'!$E$6,A172)&lt;0,0,DIAS365('CALCULADORA TIL L-1'!$E$6,A172))</f>
        <v>4167</v>
      </c>
      <c r="C172" s="41">
        <f>+HLOOKUP('CALCULADORA TIL L-1'!$E$4,Tablas!$B$1:$B$181,Flujos!J172+1,FALSE)</f>
        <v>0</v>
      </c>
      <c r="D172" s="68">
        <f t="shared" si="22"/>
        <v>0</v>
      </c>
      <c r="E172" s="69">
        <f t="shared" si="23"/>
        <v>0</v>
      </c>
      <c r="F172" s="69">
        <f>ROUND(D171*ROUND(((1+'CALCULADORA TIL L-1'!$C$14)^(1/12)-1),6),6)</f>
        <v>0</v>
      </c>
      <c r="G172" s="69">
        <f t="shared" si="24"/>
        <v>0</v>
      </c>
      <c r="H172" s="70">
        <f>IF($B172=0,0,G172/POWER(1+'CALCULADORA TIL L-1'!$F$11,Flujos!$B172/365))</f>
        <v>0</v>
      </c>
      <c r="I172" s="71">
        <f t="shared" si="21"/>
        <v>47439</v>
      </c>
      <c r="J172" s="72">
        <v>170</v>
      </c>
      <c r="K172" s="73">
        <f t="shared" si="25"/>
        <v>5171</v>
      </c>
      <c r="L172" s="48">
        <f t="shared" si="26"/>
        <v>3.004E-05</v>
      </c>
      <c r="M172" s="74">
        <f t="shared" si="27"/>
        <v>0</v>
      </c>
      <c r="N172" s="74">
        <f t="shared" si="28"/>
        <v>1.6984616E-07</v>
      </c>
      <c r="O172" s="75">
        <f t="shared" si="29"/>
        <v>1.6984616E-07</v>
      </c>
    </row>
    <row r="173" spans="1:15" ht="12.75">
      <c r="A173" s="39">
        <f t="shared" si="20"/>
        <v>47469</v>
      </c>
      <c r="B173" s="67">
        <f>IF(DIAS365('CALCULADORA TIL L-1'!$E$6,A173)&lt;0,0,DIAS365('CALCULADORA TIL L-1'!$E$6,A173))</f>
        <v>4197</v>
      </c>
      <c r="C173" s="41">
        <f>+HLOOKUP('CALCULADORA TIL L-1'!$E$4,Tablas!$B$1:$B$181,Flujos!J173+1,FALSE)</f>
        <v>0</v>
      </c>
      <c r="D173" s="68">
        <f t="shared" si="22"/>
        <v>0</v>
      </c>
      <c r="E173" s="69">
        <f t="shared" si="23"/>
        <v>0</v>
      </c>
      <c r="F173" s="69">
        <f>ROUND(D172*ROUND(((1+'CALCULADORA TIL L-1'!$C$14)^(1/12)-1),6),6)</f>
        <v>0</v>
      </c>
      <c r="G173" s="69">
        <f t="shared" si="24"/>
        <v>0</v>
      </c>
      <c r="H173" s="70">
        <f>IF($B173=0,0,G173/POWER(1+'CALCULADORA TIL L-1'!$F$11,Flujos!$B173/365))</f>
        <v>0</v>
      </c>
      <c r="I173" s="71">
        <f t="shared" si="21"/>
        <v>47469</v>
      </c>
      <c r="J173" s="72">
        <v>171</v>
      </c>
      <c r="K173" s="73">
        <f t="shared" si="25"/>
        <v>5201</v>
      </c>
      <c r="L173" s="48">
        <f t="shared" si="26"/>
        <v>3.004E-05</v>
      </c>
      <c r="M173" s="74">
        <f t="shared" si="27"/>
        <v>0</v>
      </c>
      <c r="N173" s="74">
        <f t="shared" si="28"/>
        <v>1.6984616E-07</v>
      </c>
      <c r="O173" s="75">
        <f t="shared" si="29"/>
        <v>1.6984616E-07</v>
      </c>
    </row>
    <row r="174" spans="1:15" ht="12.75">
      <c r="A174" s="39">
        <f t="shared" si="20"/>
        <v>47500</v>
      </c>
      <c r="B174" s="67">
        <f>IF(DIAS365('CALCULADORA TIL L-1'!$E$6,A174)&lt;0,0,DIAS365('CALCULADORA TIL L-1'!$E$6,A174))</f>
        <v>4228</v>
      </c>
      <c r="C174" s="41">
        <f>+HLOOKUP('CALCULADORA TIL L-1'!$E$4,Tablas!$B$1:$B$181,Flujos!J174+1,FALSE)</f>
        <v>0</v>
      </c>
      <c r="D174" s="68">
        <f t="shared" si="22"/>
        <v>0</v>
      </c>
      <c r="E174" s="69">
        <f t="shared" si="23"/>
        <v>0</v>
      </c>
      <c r="F174" s="69">
        <f>ROUND(D173*ROUND(((1+'CALCULADORA TIL L-1'!$C$14)^(1/12)-1),6),6)</f>
        <v>0</v>
      </c>
      <c r="G174" s="69">
        <f t="shared" si="24"/>
        <v>0</v>
      </c>
      <c r="H174" s="70">
        <f>IF($B174=0,0,G174/POWER(1+'CALCULADORA TIL L-1'!$F$11,Flujos!$B174/365))</f>
        <v>0</v>
      </c>
      <c r="I174" s="71">
        <f t="shared" si="21"/>
        <v>47500</v>
      </c>
      <c r="J174" s="72">
        <v>172</v>
      </c>
      <c r="K174" s="73">
        <f t="shared" si="25"/>
        <v>5232</v>
      </c>
      <c r="L174" s="48">
        <f t="shared" si="26"/>
        <v>3.004E-05</v>
      </c>
      <c r="M174" s="74">
        <f t="shared" si="27"/>
        <v>0</v>
      </c>
      <c r="N174" s="74">
        <f t="shared" si="28"/>
        <v>1.6984616E-07</v>
      </c>
      <c r="O174" s="75">
        <f t="shared" si="29"/>
        <v>1.6984616E-07</v>
      </c>
    </row>
    <row r="175" spans="1:15" ht="12.75">
      <c r="A175" s="39">
        <f t="shared" si="20"/>
        <v>47531</v>
      </c>
      <c r="B175" s="67">
        <f>IF(DIAS365('CALCULADORA TIL L-1'!$E$6,A175)&lt;0,0,DIAS365('CALCULADORA TIL L-1'!$E$6,A175))</f>
        <v>4259</v>
      </c>
      <c r="C175" s="41">
        <f>+HLOOKUP('CALCULADORA TIL L-1'!$E$4,Tablas!$B$1:$B$181,Flujos!J175+1,FALSE)</f>
        <v>0</v>
      </c>
      <c r="D175" s="68">
        <f t="shared" si="22"/>
        <v>0</v>
      </c>
      <c r="E175" s="69">
        <f t="shared" si="23"/>
        <v>0</v>
      </c>
      <c r="F175" s="69">
        <f>ROUND(D174*ROUND(((1+'CALCULADORA TIL L-1'!$C$14)^(1/12)-1),6),6)</f>
        <v>0</v>
      </c>
      <c r="G175" s="69">
        <f t="shared" si="24"/>
        <v>0</v>
      </c>
      <c r="H175" s="70">
        <f>IF($B175=0,0,G175/POWER(1+'CALCULADORA TIL L-1'!$F$11,Flujos!$B175/365))</f>
        <v>0</v>
      </c>
      <c r="I175" s="71">
        <f t="shared" si="21"/>
        <v>47531</v>
      </c>
      <c r="J175" s="72">
        <v>173</v>
      </c>
      <c r="K175" s="73">
        <f t="shared" si="25"/>
        <v>5263</v>
      </c>
      <c r="L175" s="48">
        <f t="shared" si="26"/>
        <v>3.004E-05</v>
      </c>
      <c r="M175" s="74">
        <f t="shared" si="27"/>
        <v>0</v>
      </c>
      <c r="N175" s="74">
        <f t="shared" si="28"/>
        <v>1.6984616E-07</v>
      </c>
      <c r="O175" s="75">
        <f t="shared" si="29"/>
        <v>1.6984616E-07</v>
      </c>
    </row>
    <row r="176" spans="1:15" ht="12.75">
      <c r="A176" s="39">
        <f t="shared" si="20"/>
        <v>47559</v>
      </c>
      <c r="B176" s="67">
        <f>IF(DIAS365('CALCULADORA TIL L-1'!$E$6,A176)&lt;0,0,DIAS365('CALCULADORA TIL L-1'!$E$6,A176))</f>
        <v>4287</v>
      </c>
      <c r="C176" s="41">
        <f>+HLOOKUP('CALCULADORA TIL L-1'!$E$4,Tablas!$B$1:$B$181,Flujos!J176+1,FALSE)</f>
        <v>0</v>
      </c>
      <c r="D176" s="68">
        <f t="shared" si="22"/>
        <v>0</v>
      </c>
      <c r="E176" s="69">
        <f t="shared" si="23"/>
        <v>0</v>
      </c>
      <c r="F176" s="69">
        <f>ROUND(D175*ROUND(((1+'CALCULADORA TIL L-1'!$C$14)^(1/12)-1),6),6)</f>
        <v>0</v>
      </c>
      <c r="G176" s="69">
        <f t="shared" si="24"/>
        <v>0</v>
      </c>
      <c r="H176" s="70">
        <f>IF($B176=0,0,G176/POWER(1+'CALCULADORA TIL L-1'!$F$11,Flujos!$B176/365))</f>
        <v>0</v>
      </c>
      <c r="I176" s="71">
        <f t="shared" si="21"/>
        <v>47559</v>
      </c>
      <c r="J176" s="72">
        <v>174</v>
      </c>
      <c r="K176" s="73">
        <f t="shared" si="25"/>
        <v>5291</v>
      </c>
      <c r="L176" s="48">
        <f t="shared" si="26"/>
        <v>3.004E-05</v>
      </c>
      <c r="M176" s="74">
        <f t="shared" si="27"/>
        <v>0</v>
      </c>
      <c r="N176" s="74">
        <f t="shared" si="28"/>
        <v>1.6984616E-07</v>
      </c>
      <c r="O176" s="75">
        <f t="shared" si="29"/>
        <v>1.6984616E-07</v>
      </c>
    </row>
    <row r="177" spans="1:15" ht="12.75">
      <c r="A177" s="39">
        <f t="shared" si="20"/>
        <v>47590</v>
      </c>
      <c r="B177" s="67">
        <f>IF(DIAS365('CALCULADORA TIL L-1'!$E$6,A177)&lt;0,0,DIAS365('CALCULADORA TIL L-1'!$E$6,A177))</f>
        <v>4318</v>
      </c>
      <c r="C177" s="41">
        <f>+HLOOKUP('CALCULADORA TIL L-1'!$E$4,Tablas!$B$1:$B$181,Flujos!J177+1,FALSE)</f>
        <v>0</v>
      </c>
      <c r="D177" s="68">
        <f t="shared" si="22"/>
        <v>0</v>
      </c>
      <c r="E177" s="69">
        <f t="shared" si="23"/>
        <v>0</v>
      </c>
      <c r="F177" s="69">
        <f>ROUND(D176*ROUND(((1+'CALCULADORA TIL L-1'!$C$14)^(1/12)-1),6),6)</f>
        <v>0</v>
      </c>
      <c r="G177" s="69">
        <f t="shared" si="24"/>
        <v>0</v>
      </c>
      <c r="H177" s="70">
        <f>IF($B177=0,0,G177/POWER(1+'CALCULADORA TIL L-1'!$F$11,Flujos!$B177/365))</f>
        <v>0</v>
      </c>
      <c r="I177" s="71">
        <f t="shared" si="21"/>
        <v>47590</v>
      </c>
      <c r="J177" s="72">
        <v>175</v>
      </c>
      <c r="K177" s="73">
        <f t="shared" si="25"/>
        <v>5322</v>
      </c>
      <c r="L177" s="48">
        <f t="shared" si="26"/>
        <v>3.004E-05</v>
      </c>
      <c r="M177" s="74">
        <f t="shared" si="27"/>
        <v>0</v>
      </c>
      <c r="N177" s="74">
        <f t="shared" si="28"/>
        <v>1.6984616E-07</v>
      </c>
      <c r="O177" s="75">
        <f t="shared" si="29"/>
        <v>1.6984616E-07</v>
      </c>
    </row>
    <row r="178" spans="1:15" ht="12.75">
      <c r="A178" s="39">
        <f t="shared" si="20"/>
        <v>47620</v>
      </c>
      <c r="B178" s="67">
        <f>IF(DIAS365('CALCULADORA TIL L-1'!$E$6,A178)&lt;0,0,DIAS365('CALCULADORA TIL L-1'!$E$6,A178))</f>
        <v>4348</v>
      </c>
      <c r="C178" s="41">
        <f>+HLOOKUP('CALCULADORA TIL L-1'!$E$4,Tablas!$B$1:$B$181,Flujos!J178+1,FALSE)</f>
        <v>0</v>
      </c>
      <c r="D178" s="68">
        <f t="shared" si="22"/>
        <v>0</v>
      </c>
      <c r="E178" s="69">
        <f t="shared" si="23"/>
        <v>0</v>
      </c>
      <c r="F178" s="69">
        <f>ROUND(D177*ROUND(((1+'CALCULADORA TIL L-1'!$C$14)^(1/12)-1),6),6)</f>
        <v>0</v>
      </c>
      <c r="G178" s="69">
        <f t="shared" si="24"/>
        <v>0</v>
      </c>
      <c r="H178" s="70">
        <f>IF($B178=0,0,G178/POWER(1+'CALCULADORA TIL L-1'!$F$11,Flujos!$B178/365))</f>
        <v>0</v>
      </c>
      <c r="I178" s="71">
        <f t="shared" si="21"/>
        <v>47620</v>
      </c>
      <c r="J178" s="72">
        <v>176</v>
      </c>
      <c r="K178" s="73">
        <f t="shared" si="25"/>
        <v>5352</v>
      </c>
      <c r="L178" s="48">
        <f t="shared" si="26"/>
        <v>3.004E-05</v>
      </c>
      <c r="M178" s="74">
        <f t="shared" si="27"/>
        <v>0</v>
      </c>
      <c r="N178" s="74">
        <f t="shared" si="28"/>
        <v>1.6984616E-07</v>
      </c>
      <c r="O178" s="75">
        <f t="shared" si="29"/>
        <v>1.6984616E-07</v>
      </c>
    </row>
    <row r="179" spans="1:15" ht="12.75">
      <c r="A179" s="39">
        <f t="shared" si="20"/>
        <v>47651</v>
      </c>
      <c r="B179" s="67">
        <f>IF(DIAS365('CALCULADORA TIL L-1'!$E$6,A179)&lt;0,0,DIAS365('CALCULADORA TIL L-1'!$E$6,A179))</f>
        <v>4379</v>
      </c>
      <c r="C179" s="41">
        <f>+HLOOKUP('CALCULADORA TIL L-1'!$E$4,Tablas!$B$1:$B$181,Flujos!J179+1,FALSE)</f>
        <v>0</v>
      </c>
      <c r="D179" s="68">
        <f t="shared" si="22"/>
        <v>0</v>
      </c>
      <c r="E179" s="69">
        <f t="shared" si="23"/>
        <v>0</v>
      </c>
      <c r="F179" s="69">
        <f>ROUND(D178*ROUND(((1+'CALCULADORA TIL L-1'!$C$14)^(1/12)-1),6),6)</f>
        <v>0</v>
      </c>
      <c r="G179" s="69">
        <f t="shared" si="24"/>
        <v>0</v>
      </c>
      <c r="H179" s="70">
        <f>IF($B179=0,0,G179/POWER(1+'CALCULADORA TIL L-1'!$F$11,Flujos!$B179/365))</f>
        <v>0</v>
      </c>
      <c r="I179" s="71">
        <f t="shared" si="21"/>
        <v>47651</v>
      </c>
      <c r="J179" s="72">
        <v>177</v>
      </c>
      <c r="K179" s="73">
        <f t="shared" si="25"/>
        <v>5383</v>
      </c>
      <c r="L179" s="48">
        <f t="shared" si="26"/>
        <v>3.004E-05</v>
      </c>
      <c r="M179" s="74">
        <f t="shared" si="27"/>
        <v>0</v>
      </c>
      <c r="N179" s="74">
        <f t="shared" si="28"/>
        <v>1.6984616E-07</v>
      </c>
      <c r="O179" s="75">
        <f t="shared" si="29"/>
        <v>1.6984616E-07</v>
      </c>
    </row>
    <row r="180" spans="1:15" ht="12.75">
      <c r="A180" s="39">
        <f t="shared" si="20"/>
        <v>47681</v>
      </c>
      <c r="B180" s="67">
        <f>IF(DIAS365('CALCULADORA TIL L-1'!$E$6,A180)&lt;0,0,DIAS365('CALCULADORA TIL L-1'!$E$6,A180))</f>
        <v>4409</v>
      </c>
      <c r="C180" s="41">
        <f>+HLOOKUP('CALCULADORA TIL L-1'!$E$4,Tablas!$B$1:$B$181,Flujos!J180+1,FALSE)</f>
        <v>0</v>
      </c>
      <c r="D180" s="68">
        <f t="shared" si="22"/>
        <v>0</v>
      </c>
      <c r="E180" s="69">
        <f t="shared" si="23"/>
        <v>0</v>
      </c>
      <c r="F180" s="69">
        <f>ROUND(D179*ROUND(((1+'CALCULADORA TIL L-1'!$C$14)^(1/12)-1),6),6)</f>
        <v>0</v>
      </c>
      <c r="G180" s="69">
        <f t="shared" si="24"/>
        <v>0</v>
      </c>
      <c r="H180" s="70">
        <f>IF($B180=0,0,G180/POWER(1+'CALCULADORA TIL L-1'!$F$11,Flujos!$B180/365))</f>
        <v>0</v>
      </c>
      <c r="I180" s="71">
        <f t="shared" si="21"/>
        <v>47681</v>
      </c>
      <c r="J180" s="72">
        <v>178</v>
      </c>
      <c r="K180" s="73">
        <f t="shared" si="25"/>
        <v>5413</v>
      </c>
      <c r="L180" s="48">
        <f t="shared" si="26"/>
        <v>3.004E-05</v>
      </c>
      <c r="M180" s="74">
        <f t="shared" si="27"/>
        <v>0</v>
      </c>
      <c r="N180" s="74">
        <f t="shared" si="28"/>
        <v>1.6984616E-07</v>
      </c>
      <c r="O180" s="75">
        <f t="shared" si="29"/>
        <v>1.6984616E-07</v>
      </c>
    </row>
    <row r="181" spans="1:15" ht="12.75">
      <c r="A181" s="39">
        <f t="shared" si="20"/>
        <v>47712</v>
      </c>
      <c r="B181" s="67">
        <f>IF(DIAS365('CALCULADORA TIL L-1'!$E$6,A181)&lt;0,0,DIAS365('CALCULADORA TIL L-1'!$E$6,A181))</f>
        <v>4440</v>
      </c>
      <c r="C181" s="41">
        <f>+HLOOKUP('CALCULADORA TIL L-1'!$E$4,Tablas!$B$1:$B$181,Flujos!J181+1,FALSE)</f>
        <v>0</v>
      </c>
      <c r="D181" s="68">
        <f t="shared" si="22"/>
        <v>0</v>
      </c>
      <c r="E181" s="69">
        <f t="shared" si="23"/>
        <v>0</v>
      </c>
      <c r="F181" s="69">
        <f>ROUND(D180*ROUND(((1+'CALCULADORA TIL L-1'!$C$14)^(1/12)-1),6),6)</f>
        <v>0</v>
      </c>
      <c r="G181" s="69">
        <f t="shared" si="24"/>
        <v>0</v>
      </c>
      <c r="H181" s="70">
        <f>IF($B181=0,0,G181/POWER(1+'CALCULADORA TIL L-1'!$F$11,Flujos!$B181/365))</f>
        <v>0</v>
      </c>
      <c r="I181" s="71">
        <f t="shared" si="21"/>
        <v>47712</v>
      </c>
      <c r="J181" s="72">
        <v>179</v>
      </c>
      <c r="K181" s="73">
        <f t="shared" si="25"/>
        <v>5444</v>
      </c>
      <c r="L181" s="48">
        <f t="shared" si="26"/>
        <v>3.004E-05</v>
      </c>
      <c r="M181" s="74">
        <f t="shared" si="27"/>
        <v>0</v>
      </c>
      <c r="N181" s="74">
        <f t="shared" si="28"/>
        <v>1.6984616E-07</v>
      </c>
      <c r="O181" s="75">
        <f t="shared" si="29"/>
        <v>1.6984616E-07</v>
      </c>
    </row>
    <row r="182" spans="1:15" ht="13.5" thickBot="1">
      <c r="A182" s="39">
        <f t="shared" si="20"/>
        <v>47743</v>
      </c>
      <c r="B182" s="67">
        <f>IF(DIAS365('CALCULADORA TIL L-1'!$E$6,A182)&lt;0,0,DIAS365('CALCULADORA TIL L-1'!$E$6,A182))</f>
        <v>4471</v>
      </c>
      <c r="C182" s="41">
        <f>+HLOOKUP('CALCULADORA TIL L-1'!$E$4,Tablas!$B$1:$B$181,Flujos!J182+1,FALSE)</f>
        <v>0</v>
      </c>
      <c r="D182" s="68">
        <f t="shared" si="22"/>
        <v>0</v>
      </c>
      <c r="E182" s="69">
        <f t="shared" si="23"/>
        <v>0</v>
      </c>
      <c r="F182" s="69">
        <f>ROUND(D181*ROUND(((1+'CALCULADORA TIL L-1'!$C$14)^(1/12)-1),6),6)</f>
        <v>0</v>
      </c>
      <c r="G182" s="69">
        <f t="shared" si="24"/>
        <v>0</v>
      </c>
      <c r="H182" s="70">
        <f>IF($B182=0,0,G182/POWER(1+'CALCULADORA TIL L-1'!$F$11,Flujos!$B182/365))</f>
        <v>0</v>
      </c>
      <c r="I182" s="76">
        <f t="shared" si="21"/>
        <v>47743</v>
      </c>
      <c r="J182" s="77">
        <v>180</v>
      </c>
      <c r="K182" s="78">
        <f t="shared" si="25"/>
        <v>5475</v>
      </c>
      <c r="L182" s="48">
        <f t="shared" si="26"/>
        <v>3.004E-05</v>
      </c>
      <c r="M182" s="79">
        <f t="shared" si="27"/>
        <v>0</v>
      </c>
      <c r="N182" s="79">
        <f t="shared" si="28"/>
        <v>1.6984616E-07</v>
      </c>
      <c r="O182" s="80">
        <f t="shared" si="29"/>
        <v>1.6984616E-07</v>
      </c>
    </row>
    <row r="183" spans="1:15" ht="13.5" thickBot="1">
      <c r="A183" s="81"/>
      <c r="B183" s="82"/>
      <c r="C183" s="83">
        <f>+SUMIF(B2:B182,"&gt;0",C2:C182)</f>
        <v>0.02004591</v>
      </c>
      <c r="D183" s="84"/>
      <c r="E183" s="85">
        <f>SUM(E2:E182)</f>
        <v>100.00000000000003</v>
      </c>
      <c r="F183" s="85">
        <f>SUM(F2:F182)</f>
        <v>11.320799999999997</v>
      </c>
      <c r="G183" s="85">
        <f>SUM(G2:G182)</f>
        <v>111.32079999999999</v>
      </c>
      <c r="H183" s="86">
        <f>SUM(H2:H182)</f>
        <v>2.003635808213233</v>
      </c>
      <c r="I183" s="87"/>
      <c r="L183" s="89" t="s">
        <v>36</v>
      </c>
      <c r="M183" s="90">
        <f>SUM(M2:M182)</f>
        <v>49885487862.61136</v>
      </c>
      <c r="N183" s="90">
        <f>SUM(N2:N182)</f>
        <v>5647435889.760076</v>
      </c>
      <c r="O183" s="91">
        <f>SUM(O2:O182)</f>
        <v>55532923752.37144</v>
      </c>
    </row>
  </sheetData>
  <sheetProtection password="C5F9" sheet="1"/>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sheetPr codeName="Hoja5"/>
  <dimension ref="A1:B181"/>
  <sheetViews>
    <sheetView zoomScale="75" zoomScaleNormal="75" zoomScalePageLayoutView="0" workbookViewId="0" topLeftCell="A152">
      <selection activeCell="A181" sqref="A181:B181"/>
    </sheetView>
  </sheetViews>
  <sheetFormatPr defaultColWidth="11.421875" defaultRowHeight="12.75"/>
  <cols>
    <col min="1" max="1" width="14.57421875" style="28" customWidth="1"/>
    <col min="2" max="2" width="24.00390625" style="28" bestFit="1" customWidth="1"/>
    <col min="3" max="16384" width="11.421875" style="28" customWidth="1"/>
  </cols>
  <sheetData>
    <row r="1" spans="1:2" ht="13.5" thickBot="1">
      <c r="A1" s="29" t="s">
        <v>0</v>
      </c>
      <c r="B1" s="35" t="str">
        <f>+Características!$B$1</f>
        <v>TIL Pesos L-1 A 2019</v>
      </c>
    </row>
    <row r="2" spans="1:2" ht="12.75">
      <c r="A2" s="30">
        <f>+'Tabla de Amortizacion'!A3</f>
        <v>42294</v>
      </c>
      <c r="B2" s="31">
        <f>IF('CALCULADORA TIL L-1'!$F$10="Contractual",ROUND('Tabla de Amortizacion'!B3,8),IF('CALCULADORA TIL L-1'!$F$10="6% (Medio)",ROUND('Tabla de Amortizacion'!D3,8),IF('CALCULADORA TIL L-1'!$F$10="10% (Medio Alto)",ROUND('Tabla de Amortizacion'!F3,8),IF('CALCULADORA TIL L-1'!$F$10="14% (Alto)",ROUND('Tabla de Amortizacion'!H3,8),IF('CALCULADORA TIL L-1'!$F$10=20%,ROUND('Tabla de Amortizacion'!J3,8),ROUND('Tabla de Amortizacion'!L3,8))))))</f>
        <v>0.01</v>
      </c>
    </row>
    <row r="3" spans="1:2" ht="12.75">
      <c r="A3" s="32">
        <f aca="true" t="shared" si="0" ref="A3:A34">_XLL.FECHA.MES(A2,1)</f>
        <v>42325</v>
      </c>
      <c r="B3" s="33">
        <f>IF('CALCULADORA TIL L-1'!$F$10="Contractual",ROUND('Tabla de Amortizacion'!B4,8),IF('CALCULADORA TIL L-1'!$F$10="6% (Medio)",ROUND('Tabla de Amortizacion'!D4,8),IF('CALCULADORA TIL L-1'!$F$10="10% (Medio Alto)",ROUND('Tabla de Amortizacion'!F4,8),IF('CALCULADORA TIL L-1'!$F$10="14% (Alto)",ROUND('Tabla de Amortizacion'!H4,8),IF('CALCULADORA TIL L-1'!$F$10=20%,ROUND('Tabla de Amortizacion'!J4,8),ROUND('Tabla de Amortizacion'!L4,8))))))</f>
        <v>0.01</v>
      </c>
    </row>
    <row r="4" spans="1:2" ht="12.75">
      <c r="A4" s="32">
        <f t="shared" si="0"/>
        <v>42355</v>
      </c>
      <c r="B4" s="33">
        <f>IF('CALCULADORA TIL L-1'!$F$10="Contractual",ROUND('Tabla de Amortizacion'!B5,8),IF('CALCULADORA TIL L-1'!$F$10="6% (Medio)",ROUND('Tabla de Amortizacion'!D5,8),IF('CALCULADORA TIL L-1'!$F$10="10% (Medio Alto)",ROUND('Tabla de Amortizacion'!F5,8),IF('CALCULADORA TIL L-1'!$F$10="14% (Alto)",ROUND('Tabla de Amortizacion'!H5,8),IF('CALCULADORA TIL L-1'!$F$10=20%,ROUND('Tabla de Amortizacion'!J5,8),ROUND('Tabla de Amortizacion'!L5,8))))))</f>
        <v>0.01</v>
      </c>
    </row>
    <row r="5" spans="1:2" ht="12.75">
      <c r="A5" s="32">
        <f t="shared" si="0"/>
        <v>42386</v>
      </c>
      <c r="B5" s="33">
        <f>IF('CALCULADORA TIL L-1'!$F$10="Contractual",ROUND('Tabla de Amortizacion'!B6,8),IF('CALCULADORA TIL L-1'!$F$10="6% (Medio)",ROUND('Tabla de Amortizacion'!D6,8),IF('CALCULADORA TIL L-1'!$F$10="10% (Medio Alto)",ROUND('Tabla de Amortizacion'!F6,8),IF('CALCULADORA TIL L-1'!$F$10="14% (Alto)",ROUND('Tabla de Amortizacion'!H6,8),IF('CALCULADORA TIL L-1'!$F$10=20%,ROUND('Tabla de Amortizacion'!J6,8),ROUND('Tabla de Amortizacion'!L6,8))))))</f>
        <v>0.01</v>
      </c>
    </row>
    <row r="6" spans="1:2" ht="12.75">
      <c r="A6" s="32">
        <f t="shared" si="0"/>
        <v>42417</v>
      </c>
      <c r="B6" s="33">
        <f>IF('CALCULADORA TIL L-1'!$F$10="Contractual",ROUND('Tabla de Amortizacion'!B7,8),IF('CALCULADORA TIL L-1'!$F$10="6% (Medio)",ROUND('Tabla de Amortizacion'!D7,8),IF('CALCULADORA TIL L-1'!$F$10="10% (Medio Alto)",ROUND('Tabla de Amortizacion'!F7,8),IF('CALCULADORA TIL L-1'!$F$10="14% (Alto)",ROUND('Tabla de Amortizacion'!H7,8),IF('CALCULADORA TIL L-1'!$F$10=20%,ROUND('Tabla de Amortizacion'!J7,8),ROUND('Tabla de Amortizacion'!L7,8))))))</f>
        <v>0.01</v>
      </c>
    </row>
    <row r="7" spans="1:2" ht="12.75">
      <c r="A7" s="32">
        <f t="shared" si="0"/>
        <v>42446</v>
      </c>
      <c r="B7" s="33">
        <f>IF('CALCULADORA TIL L-1'!$F$10="Contractual",ROUND('Tabla de Amortizacion'!B8,8),IF('CALCULADORA TIL L-1'!$F$10="6% (Medio)",ROUND('Tabla de Amortizacion'!D8,8),IF('CALCULADORA TIL L-1'!$F$10="10% (Medio Alto)",ROUND('Tabla de Amortizacion'!F8,8),IF('CALCULADORA TIL L-1'!$F$10="14% (Alto)",ROUND('Tabla de Amortizacion'!H8,8),IF('CALCULADORA TIL L-1'!$F$10=20%,ROUND('Tabla de Amortizacion'!J8,8),ROUND('Tabla de Amortizacion'!L8,8))))))</f>
        <v>0.01</v>
      </c>
    </row>
    <row r="8" spans="1:2" ht="12.75">
      <c r="A8" s="32">
        <f t="shared" si="0"/>
        <v>42477</v>
      </c>
      <c r="B8" s="33">
        <f>IF('CALCULADORA TIL L-1'!$F$10="Contractual",ROUND('Tabla de Amortizacion'!B9,8),IF('CALCULADORA TIL L-1'!$F$10="6% (Medio)",ROUND('Tabla de Amortizacion'!D9,8),IF('CALCULADORA TIL L-1'!$F$10="10% (Medio Alto)",ROUND('Tabla de Amortizacion'!F9,8),IF('CALCULADORA TIL L-1'!$F$10="14% (Alto)",ROUND('Tabla de Amortizacion'!H9,8),IF('CALCULADORA TIL L-1'!$F$10=20%,ROUND('Tabla de Amortizacion'!J9,8),ROUND('Tabla de Amortizacion'!L9,8))))))</f>
        <v>0.01</v>
      </c>
    </row>
    <row r="9" spans="1:2" ht="12.75">
      <c r="A9" s="32">
        <f t="shared" si="0"/>
        <v>42507</v>
      </c>
      <c r="B9" s="33">
        <f>IF('CALCULADORA TIL L-1'!$F$10="Contractual",ROUND('Tabla de Amortizacion'!B10,8),IF('CALCULADORA TIL L-1'!$F$10="6% (Medio)",ROUND('Tabla de Amortizacion'!D10,8),IF('CALCULADORA TIL L-1'!$F$10="10% (Medio Alto)",ROUND('Tabla de Amortizacion'!F10,8),IF('CALCULADORA TIL L-1'!$F$10="14% (Alto)",ROUND('Tabla de Amortizacion'!H10,8),IF('CALCULADORA TIL L-1'!$F$10=20%,ROUND('Tabla de Amortizacion'!J10,8),ROUND('Tabla de Amortizacion'!L10,8))))))</f>
        <v>0.01</v>
      </c>
    </row>
    <row r="10" spans="1:2" ht="12.75">
      <c r="A10" s="32">
        <f t="shared" si="0"/>
        <v>42538</v>
      </c>
      <c r="B10" s="33">
        <f>IF('CALCULADORA TIL L-1'!$F$10="Contractual",ROUND('Tabla de Amortizacion'!B11,8),IF('CALCULADORA TIL L-1'!$F$10="6% (Medio)",ROUND('Tabla de Amortizacion'!D11,8),IF('CALCULADORA TIL L-1'!$F$10="10% (Medio Alto)",ROUND('Tabla de Amortizacion'!F11,8),IF('CALCULADORA TIL L-1'!$F$10="14% (Alto)",ROUND('Tabla de Amortizacion'!H11,8),IF('CALCULADORA TIL L-1'!$F$10=20%,ROUND('Tabla de Amortizacion'!J11,8),ROUND('Tabla de Amortizacion'!L11,8))))))</f>
        <v>0.01</v>
      </c>
    </row>
    <row r="11" spans="1:2" ht="12.75">
      <c r="A11" s="32">
        <f t="shared" si="0"/>
        <v>42568</v>
      </c>
      <c r="B11" s="33">
        <f>IF('CALCULADORA TIL L-1'!$F$10="Contractual",ROUND('Tabla de Amortizacion'!B12,8),IF('CALCULADORA TIL L-1'!$F$10="6% (Medio)",ROUND('Tabla de Amortizacion'!D12,8),IF('CALCULADORA TIL L-1'!$F$10="10% (Medio Alto)",ROUND('Tabla de Amortizacion'!F12,8),IF('CALCULADORA TIL L-1'!$F$10="14% (Alto)",ROUND('Tabla de Amortizacion'!H12,8),IF('CALCULADORA TIL L-1'!$F$10=20%,ROUND('Tabla de Amortizacion'!J12,8),ROUND('Tabla de Amortizacion'!L12,8))))))</f>
        <v>0.01</v>
      </c>
    </row>
    <row r="12" spans="1:2" ht="12.75">
      <c r="A12" s="32">
        <f t="shared" si="0"/>
        <v>42599</v>
      </c>
      <c r="B12" s="33">
        <f>IF('CALCULADORA TIL L-1'!$F$10="Contractual",ROUND('Tabla de Amortizacion'!B13,8),IF('CALCULADORA TIL L-1'!$F$10="6% (Medio)",ROUND('Tabla de Amortizacion'!D13,8),IF('CALCULADORA TIL L-1'!$F$10="10% (Medio Alto)",ROUND('Tabla de Amortizacion'!F13,8),IF('CALCULADORA TIL L-1'!$F$10="14% (Alto)",ROUND('Tabla de Amortizacion'!H13,8),IF('CALCULADORA TIL L-1'!$F$10=20%,ROUND('Tabla de Amortizacion'!J13,8),ROUND('Tabla de Amortizacion'!L13,8))))))</f>
        <v>0.01</v>
      </c>
    </row>
    <row r="13" spans="1:2" ht="12.75">
      <c r="A13" s="32">
        <f t="shared" si="0"/>
        <v>42630</v>
      </c>
      <c r="B13" s="33">
        <f>IF('CALCULADORA TIL L-1'!$F$10="Contractual",ROUND('Tabla de Amortizacion'!B14,8),IF('CALCULADORA TIL L-1'!$F$10="6% (Medio)",ROUND('Tabla de Amortizacion'!D14,8),IF('CALCULADORA TIL L-1'!$F$10="10% (Medio Alto)",ROUND('Tabla de Amortizacion'!F14,8),IF('CALCULADORA TIL L-1'!$F$10="14% (Alto)",ROUND('Tabla de Amortizacion'!H14,8),IF('CALCULADORA TIL L-1'!$F$10=20%,ROUND('Tabla de Amortizacion'!J14,8),ROUND('Tabla de Amortizacion'!L14,8))))))</f>
        <v>0.01</v>
      </c>
    </row>
    <row r="14" spans="1:2" ht="12.75">
      <c r="A14" s="32">
        <f t="shared" si="0"/>
        <v>42660</v>
      </c>
      <c r="B14" s="33">
        <f>IF('CALCULADORA TIL L-1'!$F$10="Contractual",ROUND('Tabla de Amortizacion'!B15,8),IF('CALCULADORA TIL L-1'!$F$10="6% (Medio)",ROUND('Tabla de Amortizacion'!D15,8),IF('CALCULADORA TIL L-1'!$F$10="10% (Medio Alto)",ROUND('Tabla de Amortizacion'!F15,8),IF('CALCULADORA TIL L-1'!$F$10="14% (Alto)",ROUND('Tabla de Amortizacion'!H15,8),IF('CALCULADORA TIL L-1'!$F$10=20%,ROUND('Tabla de Amortizacion'!J15,8),ROUND('Tabla de Amortizacion'!L15,8))))))</f>
        <v>0.02851985</v>
      </c>
    </row>
    <row r="15" spans="1:2" ht="12.75">
      <c r="A15" s="32">
        <f t="shared" si="0"/>
        <v>42691</v>
      </c>
      <c r="B15" s="33">
        <f>IF('CALCULADORA TIL L-1'!$F$10="Contractual",ROUND('Tabla de Amortizacion'!B16,8),IF('CALCULADORA TIL L-1'!$F$10="6% (Medio)",ROUND('Tabla de Amortizacion'!D16,8),IF('CALCULADORA TIL L-1'!$F$10="10% (Medio Alto)",ROUND('Tabla de Amortizacion'!F16,8),IF('CALCULADORA TIL L-1'!$F$10="14% (Alto)",ROUND('Tabla de Amortizacion'!H16,8),IF('CALCULADORA TIL L-1'!$F$10=20%,ROUND('Tabla de Amortizacion'!J16,8),ROUND('Tabla de Amortizacion'!L16,8))))))</f>
        <v>0.0648496</v>
      </c>
    </row>
    <row r="16" spans="1:2" ht="12.75">
      <c r="A16" s="32">
        <f t="shared" si="0"/>
        <v>42721</v>
      </c>
      <c r="B16" s="33">
        <f>IF('CALCULADORA TIL L-1'!$F$10="Contractual",ROUND('Tabla de Amortizacion'!B17,8),IF('CALCULADORA TIL L-1'!$F$10="6% (Medio)",ROUND('Tabla de Amortizacion'!D17,8),IF('CALCULADORA TIL L-1'!$F$10="10% (Medio Alto)",ROUND('Tabla de Amortizacion'!F17,8),IF('CALCULADORA TIL L-1'!$F$10="14% (Alto)",ROUND('Tabla de Amortizacion'!H17,8),IF('CALCULADORA TIL L-1'!$F$10=20%,ROUND('Tabla de Amortizacion'!J17,8),ROUND('Tabla de Amortizacion'!L17,8))))))</f>
        <v>0.06083283</v>
      </c>
    </row>
    <row r="17" spans="1:2" ht="12.75">
      <c r="A17" s="32">
        <f t="shared" si="0"/>
        <v>42752</v>
      </c>
      <c r="B17" s="33">
        <f>IF('CALCULADORA TIL L-1'!$F$10="Contractual",ROUND('Tabla de Amortizacion'!B18,8),IF('CALCULADORA TIL L-1'!$F$10="6% (Medio)",ROUND('Tabla de Amortizacion'!D18,8),IF('CALCULADORA TIL L-1'!$F$10="10% (Medio Alto)",ROUND('Tabla de Amortizacion'!F18,8),IF('CALCULADORA TIL L-1'!$F$10="14% (Alto)",ROUND('Tabla de Amortizacion'!H18,8),IF('CALCULADORA TIL L-1'!$F$10=20%,ROUND('Tabla de Amortizacion'!J18,8),ROUND('Tabla de Amortizacion'!L18,8))))))</f>
        <v>0.05877374</v>
      </c>
    </row>
    <row r="18" spans="1:2" ht="12.75">
      <c r="A18" s="32">
        <f t="shared" si="0"/>
        <v>42783</v>
      </c>
      <c r="B18" s="33">
        <f>IF('CALCULADORA TIL L-1'!$F$10="Contractual",ROUND('Tabla de Amortizacion'!B19,8),IF('CALCULADORA TIL L-1'!$F$10="6% (Medio)",ROUND('Tabla de Amortizacion'!D19,8),IF('CALCULADORA TIL L-1'!$F$10="10% (Medio Alto)",ROUND('Tabla de Amortizacion'!F19,8),IF('CALCULADORA TIL L-1'!$F$10="14% (Alto)",ROUND('Tabla de Amortizacion'!H19,8),IF('CALCULADORA TIL L-1'!$F$10=20%,ROUND('Tabla de Amortizacion'!J19,8),ROUND('Tabla de Amortizacion'!L19,8))))))</f>
        <v>0.05443366</v>
      </c>
    </row>
    <row r="19" spans="1:2" ht="12.75">
      <c r="A19" s="32">
        <f t="shared" si="0"/>
        <v>42811</v>
      </c>
      <c r="B19" s="33">
        <f>IF('CALCULADORA TIL L-1'!$F$10="Contractual",ROUND('Tabla de Amortizacion'!B20,8),IF('CALCULADORA TIL L-1'!$F$10="6% (Medio)",ROUND('Tabla de Amortizacion'!D20,8),IF('CALCULADORA TIL L-1'!$F$10="10% (Medio Alto)",ROUND('Tabla de Amortizacion'!F20,8),IF('CALCULADORA TIL L-1'!$F$10="14% (Alto)",ROUND('Tabla de Amortizacion'!H20,8),IF('CALCULADORA TIL L-1'!$F$10=20%,ROUND('Tabla de Amortizacion'!J20,8),ROUND('Tabla de Amortizacion'!L20,8))))))</f>
        <v>0.04730645</v>
      </c>
    </row>
    <row r="20" spans="1:2" ht="12.75">
      <c r="A20" s="32">
        <f t="shared" si="0"/>
        <v>42842</v>
      </c>
      <c r="B20" s="33">
        <f>IF('CALCULADORA TIL L-1'!$F$10="Contractual",ROUND('Tabla de Amortizacion'!B21,8),IF('CALCULADORA TIL L-1'!$F$10="6% (Medio)",ROUND('Tabla de Amortizacion'!D21,8),IF('CALCULADORA TIL L-1'!$F$10="10% (Medio Alto)",ROUND('Tabla de Amortizacion'!F21,8),IF('CALCULADORA TIL L-1'!$F$10="14% (Alto)",ROUND('Tabla de Amortizacion'!H21,8),IF('CALCULADORA TIL L-1'!$F$10=20%,ROUND('Tabla de Amortizacion'!J21,8),ROUND('Tabla de Amortizacion'!L21,8))))))</f>
        <v>0.04083409</v>
      </c>
    </row>
    <row r="21" spans="1:2" ht="12.75">
      <c r="A21" s="32">
        <f t="shared" si="0"/>
        <v>42872</v>
      </c>
      <c r="B21" s="33">
        <f>IF('CALCULADORA TIL L-1'!$F$10="Contractual",ROUND('Tabla de Amortizacion'!B22,8),IF('CALCULADORA TIL L-1'!$F$10="6% (Medio)",ROUND('Tabla de Amortizacion'!D22,8),IF('CALCULADORA TIL L-1'!$F$10="10% (Medio Alto)",ROUND('Tabla de Amortizacion'!F22,8),IF('CALCULADORA TIL L-1'!$F$10="14% (Alto)",ROUND('Tabla de Amortizacion'!H22,8),IF('CALCULADORA TIL L-1'!$F$10=20%,ROUND('Tabla de Amortizacion'!J22,8),ROUND('Tabla de Amortizacion'!L22,8))))))</f>
        <v>0.05072678</v>
      </c>
    </row>
    <row r="22" spans="1:2" ht="12.75">
      <c r="A22" s="32">
        <f t="shared" si="0"/>
        <v>42903</v>
      </c>
      <c r="B22" s="33">
        <f>IF('CALCULADORA TIL L-1'!$F$10="Contractual",ROUND('Tabla de Amortizacion'!B23,8),IF('CALCULADORA TIL L-1'!$F$10="6% (Medio)",ROUND('Tabla de Amortizacion'!D23,8),IF('CALCULADORA TIL L-1'!$F$10="10% (Medio Alto)",ROUND('Tabla de Amortizacion'!F23,8),IF('CALCULADORA TIL L-1'!$F$10="14% (Alto)",ROUND('Tabla de Amortizacion'!H23,8),IF('CALCULADORA TIL L-1'!$F$10=20%,ROUND('Tabla de Amortizacion'!J23,8),ROUND('Tabla de Amortizacion'!L23,8))))))</f>
        <v>0.04709229</v>
      </c>
    </row>
    <row r="23" spans="1:2" ht="12.75">
      <c r="A23" s="32">
        <f t="shared" si="0"/>
        <v>42933</v>
      </c>
      <c r="B23" s="33">
        <f>IF('CALCULADORA TIL L-1'!$F$10="Contractual",ROUND('Tabla de Amortizacion'!B24,8),IF('CALCULADORA TIL L-1'!$F$10="6% (Medio)",ROUND('Tabla de Amortizacion'!D24,8),IF('CALCULADORA TIL L-1'!$F$10="10% (Medio Alto)",ROUND('Tabla de Amortizacion'!F24,8),IF('CALCULADORA TIL L-1'!$F$10="14% (Alto)",ROUND('Tabla de Amortizacion'!H24,8),IF('CALCULADORA TIL L-1'!$F$10=20%,ROUND('Tabla de Amortizacion'!J24,8),ROUND('Tabla de Amortizacion'!L24,8))))))</f>
        <v>0.0410026</v>
      </c>
    </row>
    <row r="24" spans="1:2" ht="12.75">
      <c r="A24" s="32">
        <f t="shared" si="0"/>
        <v>42964</v>
      </c>
      <c r="B24" s="33">
        <f>IF('CALCULADORA TIL L-1'!$F$10="Contractual",ROUND('Tabla de Amortizacion'!B25,8),IF('CALCULADORA TIL L-1'!$F$10="6% (Medio)",ROUND('Tabla de Amortizacion'!D25,8),IF('CALCULADORA TIL L-1'!$F$10="10% (Medio Alto)",ROUND('Tabla de Amortizacion'!F25,8),IF('CALCULADORA TIL L-1'!$F$10="14% (Alto)",ROUND('Tabla de Amortizacion'!H25,8),IF('CALCULADORA TIL L-1'!$F$10=20%,ROUND('Tabla de Amortizacion'!J25,8),ROUND('Tabla de Amortizacion'!L25,8))))))</f>
        <v>0.05323807</v>
      </c>
    </row>
    <row r="25" spans="1:2" ht="12.75">
      <c r="A25" s="32">
        <f t="shared" si="0"/>
        <v>42995</v>
      </c>
      <c r="B25" s="33">
        <f>IF('CALCULADORA TIL L-1'!$F$10="Contractual",ROUND('Tabla de Amortizacion'!B26,8),IF('CALCULADORA TIL L-1'!$F$10="6% (Medio)",ROUND('Tabla de Amortizacion'!D26,8),IF('CALCULADORA TIL L-1'!$F$10="10% (Medio Alto)",ROUND('Tabla de Amortizacion'!F26,8),IF('CALCULADORA TIL L-1'!$F$10="14% (Alto)",ROUND('Tabla de Amortizacion'!H26,8),IF('CALCULADORA TIL L-1'!$F$10=20%,ROUND('Tabla de Amortizacion'!J26,8),ROUND('Tabla de Amortizacion'!L26,8))))))</f>
        <v>0.03366219</v>
      </c>
    </row>
    <row r="26" spans="1:2" ht="12.75">
      <c r="A26" s="32">
        <f t="shared" si="0"/>
        <v>43025</v>
      </c>
      <c r="B26" s="33">
        <f>IF('CALCULADORA TIL L-1'!$F$10="Contractual",ROUND('Tabla de Amortizacion'!B27,8),IF('CALCULADORA TIL L-1'!$F$10="6% (Medio)",ROUND('Tabla de Amortizacion'!D27,8),IF('CALCULADORA TIL L-1'!$F$10="10% (Medio Alto)",ROUND('Tabla de Amortizacion'!F27,8),IF('CALCULADORA TIL L-1'!$F$10="14% (Alto)",ROUND('Tabla de Amortizacion'!H27,8),IF('CALCULADORA TIL L-1'!$F$10=20%,ROUND('Tabla de Amortizacion'!J27,8),ROUND('Tabla de Amortizacion'!L27,8))))))</f>
        <v>0.03605743</v>
      </c>
    </row>
    <row r="27" spans="1:2" ht="12.75">
      <c r="A27" s="32">
        <f t="shared" si="0"/>
        <v>43056</v>
      </c>
      <c r="B27" s="33">
        <f>IF('CALCULADORA TIL L-1'!$F$10="Contractual",ROUND('Tabla de Amortizacion'!B28,8),IF('CALCULADORA TIL L-1'!$F$10="6% (Medio)",ROUND('Tabla de Amortizacion'!D28,8),IF('CALCULADORA TIL L-1'!$F$10="10% (Medio Alto)",ROUND('Tabla de Amortizacion'!F28,8),IF('CALCULADORA TIL L-1'!$F$10="14% (Alto)",ROUND('Tabla de Amortizacion'!H28,8),IF('CALCULADORA TIL L-1'!$F$10=20%,ROUND('Tabla de Amortizacion'!J28,8),ROUND('Tabla de Amortizacion'!L28,8))))))</f>
        <v>0.04560506</v>
      </c>
    </row>
    <row r="28" spans="1:2" ht="12.75">
      <c r="A28" s="32">
        <f t="shared" si="0"/>
        <v>43086</v>
      </c>
      <c r="B28" s="33">
        <f>IF('CALCULADORA TIL L-1'!$F$10="Contractual",ROUND('Tabla de Amortizacion'!B29,8),IF('CALCULADORA TIL L-1'!$F$10="6% (Medio)",ROUND('Tabla de Amortizacion'!D29,8),IF('CALCULADORA TIL L-1'!$F$10="10% (Medio Alto)",ROUND('Tabla de Amortizacion'!F29,8),IF('CALCULADORA TIL L-1'!$F$10="14% (Alto)",ROUND('Tabla de Amortizacion'!H29,8),IF('CALCULADORA TIL L-1'!$F$10=20%,ROUND('Tabla de Amortizacion'!J29,8),ROUND('Tabla de Amortizacion'!L29,8))))))</f>
        <v>0.03703401</v>
      </c>
    </row>
    <row r="29" spans="1:2" ht="12.75">
      <c r="A29" s="32">
        <f t="shared" si="0"/>
        <v>43117</v>
      </c>
      <c r="B29" s="33">
        <f>IF('CALCULADORA TIL L-1'!$F$10="Contractual",ROUND('Tabla de Amortizacion'!B30,8),IF('CALCULADORA TIL L-1'!$F$10="6% (Medio)",ROUND('Tabla de Amortizacion'!D30,8),IF('CALCULADORA TIL L-1'!$F$10="10% (Medio Alto)",ROUND('Tabla de Amortizacion'!F30,8),IF('CALCULADORA TIL L-1'!$F$10="14% (Alto)",ROUND('Tabla de Amortizacion'!H30,8),IF('CALCULADORA TIL L-1'!$F$10=20%,ROUND('Tabla de Amortizacion'!J30,8),ROUND('Tabla de Amortizacion'!L30,8))))))</f>
        <v>0.02719238</v>
      </c>
    </row>
    <row r="30" spans="1:2" ht="12.75">
      <c r="A30" s="32">
        <f t="shared" si="0"/>
        <v>43148</v>
      </c>
      <c r="B30" s="33">
        <f>IF('CALCULADORA TIL L-1'!$F$10="Contractual",ROUND('Tabla de Amortizacion'!B31,8),IF('CALCULADORA TIL L-1'!$F$10="6% (Medio)",ROUND('Tabla de Amortizacion'!D31,8),IF('CALCULADORA TIL L-1'!$F$10="10% (Medio Alto)",ROUND('Tabla de Amortizacion'!F31,8),IF('CALCULADORA TIL L-1'!$F$10="14% (Alto)",ROUND('Tabla de Amortizacion'!H31,8),IF('CALCULADORA TIL L-1'!$F$10=20%,ROUND('Tabla de Amortizacion'!J31,8),ROUND('Tabla de Amortizacion'!L31,8))))))</f>
        <v>0.0319883</v>
      </c>
    </row>
    <row r="31" spans="1:2" ht="12.75">
      <c r="A31" s="32">
        <f t="shared" si="0"/>
        <v>43176</v>
      </c>
      <c r="B31" s="33">
        <f>IF('CALCULADORA TIL L-1'!$F$10="Contractual",ROUND('Tabla de Amortizacion'!B32,8),IF('CALCULADORA TIL L-1'!$F$10="6% (Medio)",ROUND('Tabla de Amortizacion'!D32,8),IF('CALCULADORA TIL L-1'!$F$10="10% (Medio Alto)",ROUND('Tabla de Amortizacion'!F32,8),IF('CALCULADORA TIL L-1'!$F$10="14% (Alto)",ROUND('Tabla de Amortizacion'!H32,8),IF('CALCULADORA TIL L-1'!$F$10=20%,ROUND('Tabla de Amortizacion'!J32,8),ROUND('Tabla de Amortizacion'!L32,8))))))</f>
        <v>0.03053954</v>
      </c>
    </row>
    <row r="32" spans="1:2" ht="12.75">
      <c r="A32" s="32">
        <f t="shared" si="0"/>
        <v>43207</v>
      </c>
      <c r="B32" s="33">
        <f>IF('CALCULADORA TIL L-1'!$F$10="Contractual",ROUND('Tabla de Amortizacion'!B33,8),IF('CALCULADORA TIL L-1'!$F$10="6% (Medio)",ROUND('Tabla de Amortizacion'!D33,8),IF('CALCULADORA TIL L-1'!$F$10="10% (Medio Alto)",ROUND('Tabla de Amortizacion'!F33,8),IF('CALCULADORA TIL L-1'!$F$10="14% (Alto)",ROUND('Tabla de Amortizacion'!H33,8),IF('CALCULADORA TIL L-1'!$F$10=20%,ROUND('Tabla de Amortizacion'!J33,8),ROUND('Tabla de Amortizacion'!L33,8))))))</f>
        <v>0.02420167</v>
      </c>
    </row>
    <row r="33" spans="1:2" ht="12.75">
      <c r="A33" s="32">
        <f t="shared" si="0"/>
        <v>43237</v>
      </c>
      <c r="B33" s="33">
        <f>IF('CALCULADORA TIL L-1'!$F$10="Contractual",ROUND('Tabla de Amortizacion'!B34,8),IF('CALCULADORA TIL L-1'!$F$10="6% (Medio)",ROUND('Tabla de Amortizacion'!D34,8),IF('CALCULADORA TIL L-1'!$F$10="10% (Medio Alto)",ROUND('Tabla de Amortizacion'!F34,8),IF('CALCULADORA TIL L-1'!$F$10="14% (Alto)",ROUND('Tabla de Amortizacion'!H34,8),IF('CALCULADORA TIL L-1'!$F$10=20%,ROUND('Tabla de Amortizacion'!J34,8),ROUND('Tabla de Amortizacion'!L34,8))))))</f>
        <v>0.02375146</v>
      </c>
    </row>
    <row r="34" spans="1:2" ht="12.75">
      <c r="A34" s="32">
        <f t="shared" si="0"/>
        <v>43268</v>
      </c>
      <c r="B34" s="33">
        <f>IF('CALCULADORA TIL L-1'!$F$10="Contractual",ROUND('Tabla de Amortizacion'!B35,8),IF('CALCULADORA TIL L-1'!$F$10="6% (Medio)",ROUND('Tabla de Amortizacion'!D35,8),IF('CALCULADORA TIL L-1'!$F$10="10% (Medio Alto)",ROUND('Tabla de Amortizacion'!F35,8),IF('CALCULADORA TIL L-1'!$F$10="14% (Alto)",ROUND('Tabla de Amortizacion'!H35,8),IF('CALCULADORA TIL L-1'!$F$10=20%,ROUND('Tabla de Amortizacion'!J35,8),ROUND('Tabla de Amortizacion'!L35,8))))))</f>
        <v>0.02231209</v>
      </c>
    </row>
    <row r="35" spans="1:2" ht="12.75">
      <c r="A35" s="32">
        <f aca="true" t="shared" si="1" ref="A35:A66">_XLL.FECHA.MES(A34,1)</f>
        <v>43298</v>
      </c>
      <c r="B35" s="33">
        <f>IF('CALCULADORA TIL L-1'!$F$10="Contractual",ROUND('Tabla de Amortizacion'!B36,8),IF('CALCULADORA TIL L-1'!$F$10="6% (Medio)",ROUND('Tabla de Amortizacion'!D36,8),IF('CALCULADORA TIL L-1'!$F$10="10% (Medio Alto)",ROUND('Tabla de Amortizacion'!F36,8),IF('CALCULADORA TIL L-1'!$F$10="14% (Alto)",ROUND('Tabla de Amortizacion'!H36,8),IF('CALCULADORA TIL L-1'!$F$10=20%,ROUND('Tabla de Amortizacion'!J36,8),ROUND('Tabla de Amortizacion'!L36,8))))))</f>
        <v>0.02004591</v>
      </c>
    </row>
    <row r="36" spans="1:2" ht="12.75">
      <c r="A36" s="32">
        <f t="shared" si="1"/>
        <v>43329</v>
      </c>
      <c r="B36" s="33">
        <f>IF('CALCULADORA TIL L-1'!$F$10="Contractual",ROUND('Tabla de Amortizacion'!B37,8),IF('CALCULADORA TIL L-1'!$F$10="6% (Medio)",ROUND('Tabla de Amortizacion'!D37,8),IF('CALCULADORA TIL L-1'!$F$10="10% (Medio Alto)",ROUND('Tabla de Amortizacion'!F37,8),IF('CALCULADORA TIL L-1'!$F$10="14% (Alto)",ROUND('Tabla de Amortizacion'!H37,8),IF('CALCULADORA TIL L-1'!$F$10=20%,ROUND('Tabla de Amortizacion'!J37,8),ROUND('Tabla de Amortizacion'!L37,8))))))</f>
        <v>0</v>
      </c>
    </row>
    <row r="37" spans="1:2" ht="12.75">
      <c r="A37" s="32">
        <f t="shared" si="1"/>
        <v>43360</v>
      </c>
      <c r="B37" s="33">
        <f>IF('CALCULADORA TIL L-1'!$F$10="Contractual",ROUND('Tabla de Amortizacion'!B38,8),IF('CALCULADORA TIL L-1'!$F$10="6% (Medio)",ROUND('Tabla de Amortizacion'!D38,8),IF('CALCULADORA TIL L-1'!$F$10="10% (Medio Alto)",ROUND('Tabla de Amortizacion'!F38,8),IF('CALCULADORA TIL L-1'!$F$10="14% (Alto)",ROUND('Tabla de Amortizacion'!H38,8),IF('CALCULADORA TIL L-1'!$F$10=20%,ROUND('Tabla de Amortizacion'!J38,8),ROUND('Tabla de Amortizacion'!L38,8))))))</f>
        <v>0</v>
      </c>
    </row>
    <row r="38" spans="1:2" ht="12.75">
      <c r="A38" s="32">
        <f t="shared" si="1"/>
        <v>43390</v>
      </c>
      <c r="B38" s="33">
        <f>IF('CALCULADORA TIL L-1'!$F$10="Contractual",ROUND('Tabla de Amortizacion'!B39,8),IF('CALCULADORA TIL L-1'!$F$10="6% (Medio)",ROUND('Tabla de Amortizacion'!D39,8),IF('CALCULADORA TIL L-1'!$F$10="10% (Medio Alto)",ROUND('Tabla de Amortizacion'!F39,8),IF('CALCULADORA TIL L-1'!$F$10="14% (Alto)",ROUND('Tabla de Amortizacion'!H39,8),IF('CALCULADORA TIL L-1'!$F$10=20%,ROUND('Tabla de Amortizacion'!J39,8),ROUND('Tabla de Amortizacion'!L39,8))))))</f>
        <v>0</v>
      </c>
    </row>
    <row r="39" spans="1:2" ht="12.75">
      <c r="A39" s="32">
        <f t="shared" si="1"/>
        <v>43421</v>
      </c>
      <c r="B39" s="33">
        <f>IF('CALCULADORA TIL L-1'!$F$10="Contractual",ROUND('Tabla de Amortizacion'!B40,8),IF('CALCULADORA TIL L-1'!$F$10="6% (Medio)",ROUND('Tabla de Amortizacion'!D40,8),IF('CALCULADORA TIL L-1'!$F$10="10% (Medio Alto)",ROUND('Tabla de Amortizacion'!F40,8),IF('CALCULADORA TIL L-1'!$F$10="14% (Alto)",ROUND('Tabla de Amortizacion'!H40,8),IF('CALCULADORA TIL L-1'!$F$10=20%,ROUND('Tabla de Amortizacion'!J40,8),ROUND('Tabla de Amortizacion'!L40,8))))))</f>
        <v>0</v>
      </c>
    </row>
    <row r="40" spans="1:2" ht="12.75">
      <c r="A40" s="32">
        <f t="shared" si="1"/>
        <v>43451</v>
      </c>
      <c r="B40" s="33">
        <f>IF('CALCULADORA TIL L-1'!$F$10="Contractual",ROUND('Tabla de Amortizacion'!B41,8),IF('CALCULADORA TIL L-1'!$F$10="6% (Medio)",ROUND('Tabla de Amortizacion'!D41,8),IF('CALCULADORA TIL L-1'!$F$10="10% (Medio Alto)",ROUND('Tabla de Amortizacion'!F41,8),IF('CALCULADORA TIL L-1'!$F$10="14% (Alto)",ROUND('Tabla de Amortizacion'!H41,8),IF('CALCULADORA TIL L-1'!$F$10=20%,ROUND('Tabla de Amortizacion'!J41,8),ROUND('Tabla de Amortizacion'!L41,8))))))</f>
        <v>0</v>
      </c>
    </row>
    <row r="41" spans="1:2" ht="12.75">
      <c r="A41" s="32">
        <f t="shared" si="1"/>
        <v>43482</v>
      </c>
      <c r="B41" s="33">
        <f>IF('CALCULADORA TIL L-1'!$F$10="Contractual",ROUND('Tabla de Amortizacion'!B42,8),IF('CALCULADORA TIL L-1'!$F$10="6% (Medio)",ROUND('Tabla de Amortizacion'!D42,8),IF('CALCULADORA TIL L-1'!$F$10="10% (Medio Alto)",ROUND('Tabla de Amortizacion'!F42,8),IF('CALCULADORA TIL L-1'!$F$10="14% (Alto)",ROUND('Tabla de Amortizacion'!H42,8),IF('CALCULADORA TIL L-1'!$F$10=20%,ROUND('Tabla de Amortizacion'!J42,8),ROUND('Tabla de Amortizacion'!L42,8))))))</f>
        <v>0</v>
      </c>
    </row>
    <row r="42" spans="1:2" ht="12.75">
      <c r="A42" s="32">
        <f t="shared" si="1"/>
        <v>43513</v>
      </c>
      <c r="B42" s="33">
        <f>IF('CALCULADORA TIL L-1'!$F$10="Contractual",ROUND('Tabla de Amortizacion'!B43,8),IF('CALCULADORA TIL L-1'!$F$10="6% (Medio)",ROUND('Tabla de Amortizacion'!D43,8),IF('CALCULADORA TIL L-1'!$F$10="10% (Medio Alto)",ROUND('Tabla de Amortizacion'!F43,8),IF('CALCULADORA TIL L-1'!$F$10="14% (Alto)",ROUND('Tabla de Amortizacion'!H43,8),IF('CALCULADORA TIL L-1'!$F$10=20%,ROUND('Tabla de Amortizacion'!J43,8),ROUND('Tabla de Amortizacion'!L43,8))))))</f>
        <v>0</v>
      </c>
    </row>
    <row r="43" spans="1:2" ht="12.75">
      <c r="A43" s="32">
        <f t="shared" si="1"/>
        <v>43541</v>
      </c>
      <c r="B43" s="33">
        <f>IF('CALCULADORA TIL L-1'!$F$10="Contractual",ROUND('Tabla de Amortizacion'!B44,8),IF('CALCULADORA TIL L-1'!$F$10="6% (Medio)",ROUND('Tabla de Amortizacion'!D44,8),IF('CALCULADORA TIL L-1'!$F$10="10% (Medio Alto)",ROUND('Tabla de Amortizacion'!F44,8),IF('CALCULADORA TIL L-1'!$F$10="14% (Alto)",ROUND('Tabla de Amortizacion'!H44,8),IF('CALCULADORA TIL L-1'!$F$10=20%,ROUND('Tabla de Amortizacion'!J44,8),ROUND('Tabla de Amortizacion'!L44,8))))))</f>
        <v>0</v>
      </c>
    </row>
    <row r="44" spans="1:2" ht="12.75">
      <c r="A44" s="32">
        <f t="shared" si="1"/>
        <v>43572</v>
      </c>
      <c r="B44" s="33">
        <f>IF('CALCULADORA TIL L-1'!$F$10="Contractual",ROUND('Tabla de Amortizacion'!B45,8),IF('CALCULADORA TIL L-1'!$F$10="6% (Medio)",ROUND('Tabla de Amortizacion'!D45,8),IF('CALCULADORA TIL L-1'!$F$10="10% (Medio Alto)",ROUND('Tabla de Amortizacion'!F45,8),IF('CALCULADORA TIL L-1'!$F$10="14% (Alto)",ROUND('Tabla de Amortizacion'!H45,8),IF('CALCULADORA TIL L-1'!$F$10=20%,ROUND('Tabla de Amortizacion'!J45,8),ROUND('Tabla de Amortizacion'!L45,8))))))</f>
        <v>0</v>
      </c>
    </row>
    <row r="45" spans="1:2" ht="12.75">
      <c r="A45" s="32">
        <f t="shared" si="1"/>
        <v>43602</v>
      </c>
      <c r="B45" s="33">
        <f>IF('CALCULADORA TIL L-1'!$F$10="Contractual",ROUND('Tabla de Amortizacion'!B46,8),IF('CALCULADORA TIL L-1'!$F$10="6% (Medio)",ROUND('Tabla de Amortizacion'!D46,8),IF('CALCULADORA TIL L-1'!$F$10="10% (Medio Alto)",ROUND('Tabla de Amortizacion'!F46,8),IF('CALCULADORA TIL L-1'!$F$10="14% (Alto)",ROUND('Tabla de Amortizacion'!H46,8),IF('CALCULADORA TIL L-1'!$F$10=20%,ROUND('Tabla de Amortizacion'!J46,8),ROUND('Tabla de Amortizacion'!L46,8))))))</f>
        <v>0</v>
      </c>
    </row>
    <row r="46" spans="1:2" ht="12.75">
      <c r="A46" s="32">
        <f t="shared" si="1"/>
        <v>43633</v>
      </c>
      <c r="B46" s="33">
        <f>IF('CALCULADORA TIL L-1'!$F$10="Contractual",ROUND('Tabla de Amortizacion'!B47,8),IF('CALCULADORA TIL L-1'!$F$10="6% (Medio)",ROUND('Tabla de Amortizacion'!D47,8),IF('CALCULADORA TIL L-1'!$F$10="10% (Medio Alto)",ROUND('Tabla de Amortizacion'!F47,8),IF('CALCULADORA TIL L-1'!$F$10="14% (Alto)",ROUND('Tabla de Amortizacion'!H47,8),IF('CALCULADORA TIL L-1'!$F$10=20%,ROUND('Tabla de Amortizacion'!J47,8),ROUND('Tabla de Amortizacion'!L47,8))))))</f>
        <v>0</v>
      </c>
    </row>
    <row r="47" spans="1:2" ht="12.75">
      <c r="A47" s="32">
        <f t="shared" si="1"/>
        <v>43663</v>
      </c>
      <c r="B47" s="33">
        <f>IF('CALCULADORA TIL L-1'!$F$10="Contractual",ROUND('Tabla de Amortizacion'!B48,8),IF('CALCULADORA TIL L-1'!$F$10="6% (Medio)",ROUND('Tabla de Amortizacion'!D48,8),IF('CALCULADORA TIL L-1'!$F$10="10% (Medio Alto)",ROUND('Tabla de Amortizacion'!F48,8),IF('CALCULADORA TIL L-1'!$F$10="14% (Alto)",ROUND('Tabla de Amortizacion'!H48,8),IF('CALCULADORA TIL L-1'!$F$10=20%,ROUND('Tabla de Amortizacion'!J48,8),ROUND('Tabla de Amortizacion'!L48,8))))))</f>
        <v>0</v>
      </c>
    </row>
    <row r="48" spans="1:2" ht="12.75">
      <c r="A48" s="32">
        <f t="shared" si="1"/>
        <v>43694</v>
      </c>
      <c r="B48" s="33">
        <f>IF('CALCULADORA TIL L-1'!$F$10="Contractual",ROUND('Tabla de Amortizacion'!B49,8),IF('CALCULADORA TIL L-1'!$F$10="6% (Medio)",ROUND('Tabla de Amortizacion'!D49,8),IF('CALCULADORA TIL L-1'!$F$10="10% (Medio Alto)",ROUND('Tabla de Amortizacion'!F49,8),IF('CALCULADORA TIL L-1'!$F$10="14% (Alto)",ROUND('Tabla de Amortizacion'!H49,8),IF('CALCULADORA TIL L-1'!$F$10=20%,ROUND('Tabla de Amortizacion'!J49,8),ROUND('Tabla de Amortizacion'!L49,8))))))</f>
        <v>0</v>
      </c>
    </row>
    <row r="49" spans="1:2" ht="12.75">
      <c r="A49" s="32">
        <f t="shared" si="1"/>
        <v>43725</v>
      </c>
      <c r="B49" s="33">
        <f>IF('CALCULADORA TIL L-1'!$F$10="Contractual",ROUND('Tabla de Amortizacion'!B50,8),IF('CALCULADORA TIL L-1'!$F$10="6% (Medio)",ROUND('Tabla de Amortizacion'!D50,8),IF('CALCULADORA TIL L-1'!$F$10="10% (Medio Alto)",ROUND('Tabla de Amortizacion'!F50,8),IF('CALCULADORA TIL L-1'!$F$10="14% (Alto)",ROUND('Tabla de Amortizacion'!H50,8),IF('CALCULADORA TIL L-1'!$F$10=20%,ROUND('Tabla de Amortizacion'!J50,8),ROUND('Tabla de Amortizacion'!L50,8))))))</f>
        <v>0</v>
      </c>
    </row>
    <row r="50" spans="1:2" ht="12.75">
      <c r="A50" s="32">
        <f t="shared" si="1"/>
        <v>43755</v>
      </c>
      <c r="B50" s="33">
        <f>IF('CALCULADORA TIL L-1'!$F$10="Contractual",ROUND('Tabla de Amortizacion'!B51,8),IF('CALCULADORA TIL L-1'!$F$10="6% (Medio)",ROUND('Tabla de Amortizacion'!D51,8),IF('CALCULADORA TIL L-1'!$F$10="10% (Medio Alto)",ROUND('Tabla de Amortizacion'!F51,8),IF('CALCULADORA TIL L-1'!$F$10="14% (Alto)",ROUND('Tabla de Amortizacion'!H51,8),IF('CALCULADORA TIL L-1'!$F$10=20%,ROUND('Tabla de Amortizacion'!J51,8),ROUND('Tabla de Amortizacion'!L51,8))))))</f>
        <v>0</v>
      </c>
    </row>
    <row r="51" spans="1:2" ht="12.75">
      <c r="A51" s="32">
        <f t="shared" si="1"/>
        <v>43786</v>
      </c>
      <c r="B51" s="33">
        <f>IF('CALCULADORA TIL L-1'!$F$10="Contractual",ROUND('Tabla de Amortizacion'!B52,8),IF('CALCULADORA TIL L-1'!$F$10="6% (Medio)",ROUND('Tabla de Amortizacion'!D52,8),IF('CALCULADORA TIL L-1'!$F$10="10% (Medio Alto)",ROUND('Tabla de Amortizacion'!F52,8),IF('CALCULADORA TIL L-1'!$F$10="14% (Alto)",ROUND('Tabla de Amortizacion'!H52,8),IF('CALCULADORA TIL L-1'!$F$10=20%,ROUND('Tabla de Amortizacion'!J52,8),ROUND('Tabla de Amortizacion'!L52,8))))))</f>
        <v>0</v>
      </c>
    </row>
    <row r="52" spans="1:2" ht="12.75">
      <c r="A52" s="32">
        <f t="shared" si="1"/>
        <v>43816</v>
      </c>
      <c r="B52" s="33">
        <f>IF('CALCULADORA TIL L-1'!$F$10="Contractual",ROUND('Tabla de Amortizacion'!B53,8),IF('CALCULADORA TIL L-1'!$F$10="6% (Medio)",ROUND('Tabla de Amortizacion'!D53,8),IF('CALCULADORA TIL L-1'!$F$10="10% (Medio Alto)",ROUND('Tabla de Amortizacion'!F53,8),IF('CALCULADORA TIL L-1'!$F$10="14% (Alto)",ROUND('Tabla de Amortizacion'!H53,8),IF('CALCULADORA TIL L-1'!$F$10=20%,ROUND('Tabla de Amortizacion'!J53,8),ROUND('Tabla de Amortizacion'!L53,8))))))</f>
        <v>0</v>
      </c>
    </row>
    <row r="53" spans="1:2" ht="12.75">
      <c r="A53" s="32">
        <f t="shared" si="1"/>
        <v>43847</v>
      </c>
      <c r="B53" s="33">
        <f>IF('CALCULADORA TIL L-1'!$F$10="Contractual",ROUND('Tabla de Amortizacion'!B54,8),IF('CALCULADORA TIL L-1'!$F$10="6% (Medio)",ROUND('Tabla de Amortizacion'!D54,8),IF('CALCULADORA TIL L-1'!$F$10="10% (Medio Alto)",ROUND('Tabla de Amortizacion'!F54,8),IF('CALCULADORA TIL L-1'!$F$10="14% (Alto)",ROUND('Tabla de Amortizacion'!H54,8),IF('CALCULADORA TIL L-1'!$F$10=20%,ROUND('Tabla de Amortizacion'!J54,8),ROUND('Tabla de Amortizacion'!L54,8))))))</f>
        <v>0</v>
      </c>
    </row>
    <row r="54" spans="1:2" ht="12.75">
      <c r="A54" s="32">
        <f t="shared" si="1"/>
        <v>43878</v>
      </c>
      <c r="B54" s="33">
        <f>IF('CALCULADORA TIL L-1'!$F$10="Contractual",ROUND('Tabla de Amortizacion'!B55,8),IF('CALCULADORA TIL L-1'!$F$10="6% (Medio)",ROUND('Tabla de Amortizacion'!D55,8),IF('CALCULADORA TIL L-1'!$F$10="10% (Medio Alto)",ROUND('Tabla de Amortizacion'!F55,8),IF('CALCULADORA TIL L-1'!$F$10="14% (Alto)",ROUND('Tabla de Amortizacion'!H55,8),IF('CALCULADORA TIL L-1'!$F$10=20%,ROUND('Tabla de Amortizacion'!J55,8),ROUND('Tabla de Amortizacion'!L55,8))))))</f>
        <v>0</v>
      </c>
    </row>
    <row r="55" spans="1:2" ht="12.75">
      <c r="A55" s="32">
        <f t="shared" si="1"/>
        <v>43907</v>
      </c>
      <c r="B55" s="33">
        <f>IF('CALCULADORA TIL L-1'!$F$10="Contractual",ROUND('Tabla de Amortizacion'!B56,8),IF('CALCULADORA TIL L-1'!$F$10="6% (Medio)",ROUND('Tabla de Amortizacion'!D56,8),IF('CALCULADORA TIL L-1'!$F$10="10% (Medio Alto)",ROUND('Tabla de Amortizacion'!F56,8),IF('CALCULADORA TIL L-1'!$F$10="14% (Alto)",ROUND('Tabla de Amortizacion'!H56,8),IF('CALCULADORA TIL L-1'!$F$10=20%,ROUND('Tabla de Amortizacion'!J56,8),ROUND('Tabla de Amortizacion'!L56,8))))))</f>
        <v>0</v>
      </c>
    </row>
    <row r="56" spans="1:2" ht="12.75">
      <c r="A56" s="32">
        <f t="shared" si="1"/>
        <v>43938</v>
      </c>
      <c r="B56" s="33">
        <f>IF('CALCULADORA TIL L-1'!$F$10="Contractual",ROUND('Tabla de Amortizacion'!B57,8),IF('CALCULADORA TIL L-1'!$F$10="6% (Medio)",ROUND('Tabla de Amortizacion'!D57,8),IF('CALCULADORA TIL L-1'!$F$10="10% (Medio Alto)",ROUND('Tabla de Amortizacion'!F57,8),IF('CALCULADORA TIL L-1'!$F$10="14% (Alto)",ROUND('Tabla de Amortizacion'!H57,8),IF('CALCULADORA TIL L-1'!$F$10=20%,ROUND('Tabla de Amortizacion'!J57,8),ROUND('Tabla de Amortizacion'!L57,8))))))</f>
        <v>0</v>
      </c>
    </row>
    <row r="57" spans="1:2" ht="12.75">
      <c r="A57" s="32">
        <f t="shared" si="1"/>
        <v>43968</v>
      </c>
      <c r="B57" s="33">
        <f>IF('CALCULADORA TIL L-1'!$F$10="Contractual",ROUND('Tabla de Amortizacion'!B58,8),IF('CALCULADORA TIL L-1'!$F$10="6% (Medio)",ROUND('Tabla de Amortizacion'!D58,8),IF('CALCULADORA TIL L-1'!$F$10="10% (Medio Alto)",ROUND('Tabla de Amortizacion'!F58,8),IF('CALCULADORA TIL L-1'!$F$10="14% (Alto)",ROUND('Tabla de Amortizacion'!H58,8),IF('CALCULADORA TIL L-1'!$F$10=20%,ROUND('Tabla de Amortizacion'!J58,8),ROUND('Tabla de Amortizacion'!L58,8))))))</f>
        <v>0</v>
      </c>
    </row>
    <row r="58" spans="1:2" ht="12.75">
      <c r="A58" s="32">
        <f t="shared" si="1"/>
        <v>43999</v>
      </c>
      <c r="B58" s="33">
        <f>IF('CALCULADORA TIL L-1'!$F$10="Contractual",ROUND('Tabla de Amortizacion'!B59,8),IF('CALCULADORA TIL L-1'!$F$10="6% (Medio)",ROUND('Tabla de Amortizacion'!D59,8),IF('CALCULADORA TIL L-1'!$F$10="10% (Medio Alto)",ROUND('Tabla de Amortizacion'!F59,8),IF('CALCULADORA TIL L-1'!$F$10="14% (Alto)",ROUND('Tabla de Amortizacion'!H59,8),IF('CALCULADORA TIL L-1'!$F$10=20%,ROUND('Tabla de Amortizacion'!J59,8),ROUND('Tabla de Amortizacion'!L59,8))))))</f>
        <v>0</v>
      </c>
    </row>
    <row r="59" spans="1:2" ht="12.75">
      <c r="A59" s="32">
        <f t="shared" si="1"/>
        <v>44029</v>
      </c>
      <c r="B59" s="33">
        <f>IF('CALCULADORA TIL L-1'!$F$10="Contractual",ROUND('Tabla de Amortizacion'!B60,8),IF('CALCULADORA TIL L-1'!$F$10="6% (Medio)",ROUND('Tabla de Amortizacion'!D60,8),IF('CALCULADORA TIL L-1'!$F$10="10% (Medio Alto)",ROUND('Tabla de Amortizacion'!F60,8),IF('CALCULADORA TIL L-1'!$F$10="14% (Alto)",ROUND('Tabla de Amortizacion'!H60,8),IF('CALCULADORA TIL L-1'!$F$10=20%,ROUND('Tabla de Amortizacion'!J60,8),ROUND('Tabla de Amortizacion'!L60,8))))))</f>
        <v>0</v>
      </c>
    </row>
    <row r="60" spans="1:2" ht="12.75">
      <c r="A60" s="32">
        <f t="shared" si="1"/>
        <v>44060</v>
      </c>
      <c r="B60" s="33">
        <f>IF('CALCULADORA TIL L-1'!$F$10="Contractual",ROUND('Tabla de Amortizacion'!B61,8),IF('CALCULADORA TIL L-1'!$F$10="6% (Medio)",ROUND('Tabla de Amortizacion'!D61,8),IF('CALCULADORA TIL L-1'!$F$10="10% (Medio Alto)",ROUND('Tabla de Amortizacion'!F61,8),IF('CALCULADORA TIL L-1'!$F$10="14% (Alto)",ROUND('Tabla de Amortizacion'!H61,8),IF('CALCULADORA TIL L-1'!$F$10=20%,ROUND('Tabla de Amortizacion'!J61,8),ROUND('Tabla de Amortizacion'!L61,8))))))</f>
        <v>0</v>
      </c>
    </row>
    <row r="61" spans="1:2" ht="12.75">
      <c r="A61" s="32">
        <f t="shared" si="1"/>
        <v>44091</v>
      </c>
      <c r="B61" s="33">
        <f>IF('CALCULADORA TIL L-1'!$F$10="Contractual",ROUND('Tabla de Amortizacion'!B62,8),IF('CALCULADORA TIL L-1'!$F$10="6% (Medio)",ROUND('Tabla de Amortizacion'!D62,8),IF('CALCULADORA TIL L-1'!$F$10="10% (Medio Alto)",ROUND('Tabla de Amortizacion'!F62,8),IF('CALCULADORA TIL L-1'!$F$10="14% (Alto)",ROUND('Tabla de Amortizacion'!H62,8),IF('CALCULADORA TIL L-1'!$F$10=20%,ROUND('Tabla de Amortizacion'!J62,8),ROUND('Tabla de Amortizacion'!L62,8))))))</f>
        <v>0</v>
      </c>
    </row>
    <row r="62" spans="1:2" ht="12.75">
      <c r="A62" s="32">
        <f t="shared" si="1"/>
        <v>44121</v>
      </c>
      <c r="B62" s="33">
        <f>IF('CALCULADORA TIL L-1'!$F$10="Contractual",ROUND('Tabla de Amortizacion'!B63,8),IF('CALCULADORA TIL L-1'!$F$10="6% (Medio)",ROUND('Tabla de Amortizacion'!D63,8),IF('CALCULADORA TIL L-1'!$F$10="10% (Medio Alto)",ROUND('Tabla de Amortizacion'!F63,8),IF('CALCULADORA TIL L-1'!$F$10="14% (Alto)",ROUND('Tabla de Amortizacion'!H63,8),IF('CALCULADORA TIL L-1'!$F$10=20%,ROUND('Tabla de Amortizacion'!J63,8),ROUND('Tabla de Amortizacion'!L63,8))))))</f>
        <v>0</v>
      </c>
    </row>
    <row r="63" spans="1:2" ht="12.75">
      <c r="A63" s="32">
        <f t="shared" si="1"/>
        <v>44152</v>
      </c>
      <c r="B63" s="33">
        <f>IF('CALCULADORA TIL L-1'!$F$10="Contractual",ROUND('Tabla de Amortizacion'!B64,8),IF('CALCULADORA TIL L-1'!$F$10="6% (Medio)",ROUND('Tabla de Amortizacion'!D64,8),IF('CALCULADORA TIL L-1'!$F$10="10% (Medio Alto)",ROUND('Tabla de Amortizacion'!F64,8),IF('CALCULADORA TIL L-1'!$F$10="14% (Alto)",ROUND('Tabla de Amortizacion'!H64,8),IF('CALCULADORA TIL L-1'!$F$10=20%,ROUND('Tabla de Amortizacion'!J64,8),ROUND('Tabla de Amortizacion'!L64,8))))))</f>
        <v>0</v>
      </c>
    </row>
    <row r="64" spans="1:2" ht="12.75">
      <c r="A64" s="32">
        <f t="shared" si="1"/>
        <v>44182</v>
      </c>
      <c r="B64" s="33">
        <f>IF('CALCULADORA TIL L-1'!$F$10="Contractual",ROUND('Tabla de Amortizacion'!B65,8),IF('CALCULADORA TIL L-1'!$F$10="6% (Medio)",ROUND('Tabla de Amortizacion'!D65,8),IF('CALCULADORA TIL L-1'!$F$10="10% (Medio Alto)",ROUND('Tabla de Amortizacion'!F65,8),IF('CALCULADORA TIL L-1'!$F$10="14% (Alto)",ROUND('Tabla de Amortizacion'!H65,8),IF('CALCULADORA TIL L-1'!$F$10=20%,ROUND('Tabla de Amortizacion'!J65,8),ROUND('Tabla de Amortizacion'!L65,8))))))</f>
        <v>0</v>
      </c>
    </row>
    <row r="65" spans="1:2" ht="12.75">
      <c r="A65" s="32">
        <f t="shared" si="1"/>
        <v>44213</v>
      </c>
      <c r="B65" s="33">
        <f>IF('CALCULADORA TIL L-1'!$F$10="Contractual",ROUND('Tabla de Amortizacion'!B66,8),IF('CALCULADORA TIL L-1'!$F$10="6% (Medio)",ROUND('Tabla de Amortizacion'!D66,8),IF('CALCULADORA TIL L-1'!$F$10="10% (Medio Alto)",ROUND('Tabla de Amortizacion'!F66,8),IF('CALCULADORA TIL L-1'!$F$10="14% (Alto)",ROUND('Tabla de Amortizacion'!H66,8),IF('CALCULADORA TIL L-1'!$F$10=20%,ROUND('Tabla de Amortizacion'!J66,8),ROUND('Tabla de Amortizacion'!L66,8))))))</f>
        <v>0</v>
      </c>
    </row>
    <row r="66" spans="1:2" ht="12.75">
      <c r="A66" s="32">
        <f t="shared" si="1"/>
        <v>44244</v>
      </c>
      <c r="B66" s="33">
        <f>IF('CALCULADORA TIL L-1'!$F$10="Contractual",ROUND('Tabla de Amortizacion'!B67,8),IF('CALCULADORA TIL L-1'!$F$10="6% (Medio)",ROUND('Tabla de Amortizacion'!D67,8),IF('CALCULADORA TIL L-1'!$F$10="10% (Medio Alto)",ROUND('Tabla de Amortizacion'!F67,8),IF('CALCULADORA TIL L-1'!$F$10="14% (Alto)",ROUND('Tabla de Amortizacion'!H67,8),IF('CALCULADORA TIL L-1'!$F$10=20%,ROUND('Tabla de Amortizacion'!J67,8),ROUND('Tabla de Amortizacion'!L67,8))))))</f>
        <v>0</v>
      </c>
    </row>
    <row r="67" spans="1:2" ht="12.75">
      <c r="A67" s="32">
        <f aca="true" t="shared" si="2" ref="A67:A98">_XLL.FECHA.MES(A66,1)</f>
        <v>44272</v>
      </c>
      <c r="B67" s="33">
        <f>IF('CALCULADORA TIL L-1'!$F$10="Contractual",ROUND('Tabla de Amortizacion'!B68,8),IF('CALCULADORA TIL L-1'!$F$10="6% (Medio)",ROUND('Tabla de Amortizacion'!D68,8),IF('CALCULADORA TIL L-1'!$F$10="10% (Medio Alto)",ROUND('Tabla de Amortizacion'!F68,8),IF('CALCULADORA TIL L-1'!$F$10="14% (Alto)",ROUND('Tabla de Amortizacion'!H68,8),IF('CALCULADORA TIL L-1'!$F$10=20%,ROUND('Tabla de Amortizacion'!J68,8),ROUND('Tabla de Amortizacion'!L68,8))))))</f>
        <v>0</v>
      </c>
    </row>
    <row r="68" spans="1:2" ht="12.75">
      <c r="A68" s="32">
        <f t="shared" si="2"/>
        <v>44303</v>
      </c>
      <c r="B68" s="33">
        <f>IF('CALCULADORA TIL L-1'!$F$10="Contractual",ROUND('Tabla de Amortizacion'!B69,8),IF('CALCULADORA TIL L-1'!$F$10="6% (Medio)",ROUND('Tabla de Amortizacion'!D69,8),IF('CALCULADORA TIL L-1'!$F$10="10% (Medio Alto)",ROUND('Tabla de Amortizacion'!F69,8),IF('CALCULADORA TIL L-1'!$F$10="14% (Alto)",ROUND('Tabla de Amortizacion'!H69,8),IF('CALCULADORA TIL L-1'!$F$10=20%,ROUND('Tabla de Amortizacion'!J69,8),ROUND('Tabla de Amortizacion'!L69,8))))))</f>
        <v>0</v>
      </c>
    </row>
    <row r="69" spans="1:2" ht="12.75">
      <c r="A69" s="32">
        <f t="shared" si="2"/>
        <v>44333</v>
      </c>
      <c r="B69" s="33">
        <f>IF('CALCULADORA TIL L-1'!$F$10="Contractual",ROUND('Tabla de Amortizacion'!B70,8),IF('CALCULADORA TIL L-1'!$F$10="6% (Medio)",ROUND('Tabla de Amortizacion'!D70,8),IF('CALCULADORA TIL L-1'!$F$10="10% (Medio Alto)",ROUND('Tabla de Amortizacion'!F70,8),IF('CALCULADORA TIL L-1'!$F$10="14% (Alto)",ROUND('Tabla de Amortizacion'!H70,8),IF('CALCULADORA TIL L-1'!$F$10=20%,ROUND('Tabla de Amortizacion'!J70,8),ROUND('Tabla de Amortizacion'!L70,8))))))</f>
        <v>0</v>
      </c>
    </row>
    <row r="70" spans="1:2" ht="12.75">
      <c r="A70" s="32">
        <f t="shared" si="2"/>
        <v>44364</v>
      </c>
      <c r="B70" s="33">
        <f>IF('CALCULADORA TIL L-1'!$F$10="Contractual",ROUND('Tabla de Amortizacion'!B71,8),IF('CALCULADORA TIL L-1'!$F$10="6% (Medio)",ROUND('Tabla de Amortizacion'!D71,8),IF('CALCULADORA TIL L-1'!$F$10="10% (Medio Alto)",ROUND('Tabla de Amortizacion'!F71,8),IF('CALCULADORA TIL L-1'!$F$10="14% (Alto)",ROUND('Tabla de Amortizacion'!H71,8),IF('CALCULADORA TIL L-1'!$F$10=20%,ROUND('Tabla de Amortizacion'!J71,8),ROUND('Tabla de Amortizacion'!L71,8))))))</f>
        <v>0</v>
      </c>
    </row>
    <row r="71" spans="1:2" ht="12.75">
      <c r="A71" s="32">
        <f t="shared" si="2"/>
        <v>44394</v>
      </c>
      <c r="B71" s="33">
        <f>IF('CALCULADORA TIL L-1'!$F$10="Contractual",ROUND('Tabla de Amortizacion'!B72,8),IF('CALCULADORA TIL L-1'!$F$10="6% (Medio)",ROUND('Tabla de Amortizacion'!D72,8),IF('CALCULADORA TIL L-1'!$F$10="10% (Medio Alto)",ROUND('Tabla de Amortizacion'!F72,8),IF('CALCULADORA TIL L-1'!$F$10="14% (Alto)",ROUND('Tabla de Amortizacion'!H72,8),IF('CALCULADORA TIL L-1'!$F$10=20%,ROUND('Tabla de Amortizacion'!J72,8),ROUND('Tabla de Amortizacion'!L72,8))))))</f>
        <v>0</v>
      </c>
    </row>
    <row r="72" spans="1:2" ht="12.75">
      <c r="A72" s="32">
        <f t="shared" si="2"/>
        <v>44425</v>
      </c>
      <c r="B72" s="33">
        <f>IF('CALCULADORA TIL L-1'!$F$10="Contractual",ROUND('Tabla de Amortizacion'!B73,8),IF('CALCULADORA TIL L-1'!$F$10="6% (Medio)",ROUND('Tabla de Amortizacion'!D73,8),IF('CALCULADORA TIL L-1'!$F$10="10% (Medio Alto)",ROUND('Tabla de Amortizacion'!F73,8),IF('CALCULADORA TIL L-1'!$F$10="14% (Alto)",ROUND('Tabla de Amortizacion'!H73,8),IF('CALCULADORA TIL L-1'!$F$10=20%,ROUND('Tabla de Amortizacion'!J73,8),ROUND('Tabla de Amortizacion'!L73,8))))))</f>
        <v>0</v>
      </c>
    </row>
    <row r="73" spans="1:2" ht="12.75">
      <c r="A73" s="32">
        <f t="shared" si="2"/>
        <v>44456</v>
      </c>
      <c r="B73" s="33">
        <f>IF('CALCULADORA TIL L-1'!$F$10="Contractual",ROUND('Tabla de Amortizacion'!B74,8),IF('CALCULADORA TIL L-1'!$F$10="6% (Medio)",ROUND('Tabla de Amortizacion'!D74,8),IF('CALCULADORA TIL L-1'!$F$10="10% (Medio Alto)",ROUND('Tabla de Amortizacion'!F74,8),IF('CALCULADORA TIL L-1'!$F$10="14% (Alto)",ROUND('Tabla de Amortizacion'!H74,8),IF('CALCULADORA TIL L-1'!$F$10=20%,ROUND('Tabla de Amortizacion'!J74,8),ROUND('Tabla de Amortizacion'!L74,8))))))</f>
        <v>0</v>
      </c>
    </row>
    <row r="74" spans="1:2" ht="12.75">
      <c r="A74" s="32">
        <f t="shared" si="2"/>
        <v>44486</v>
      </c>
      <c r="B74" s="33">
        <f>IF('CALCULADORA TIL L-1'!$F$10="Contractual",ROUND('Tabla de Amortizacion'!B75,8),IF('CALCULADORA TIL L-1'!$F$10="6% (Medio)",ROUND('Tabla de Amortizacion'!D75,8),IF('CALCULADORA TIL L-1'!$F$10="10% (Medio Alto)",ROUND('Tabla de Amortizacion'!F75,8),IF('CALCULADORA TIL L-1'!$F$10="14% (Alto)",ROUND('Tabla de Amortizacion'!H75,8),IF('CALCULADORA TIL L-1'!$F$10=20%,ROUND('Tabla de Amortizacion'!J75,8),ROUND('Tabla de Amortizacion'!L75,8))))))</f>
        <v>0</v>
      </c>
    </row>
    <row r="75" spans="1:2" ht="12.75">
      <c r="A75" s="32">
        <f t="shared" si="2"/>
        <v>44517</v>
      </c>
      <c r="B75" s="33">
        <f>IF('CALCULADORA TIL L-1'!$F$10="Contractual",ROUND('Tabla de Amortizacion'!B76,8),IF('CALCULADORA TIL L-1'!$F$10="6% (Medio)",ROUND('Tabla de Amortizacion'!D76,8),IF('CALCULADORA TIL L-1'!$F$10="10% (Medio Alto)",ROUND('Tabla de Amortizacion'!F76,8),IF('CALCULADORA TIL L-1'!$F$10="14% (Alto)",ROUND('Tabla de Amortizacion'!H76,8),IF('CALCULADORA TIL L-1'!$F$10=20%,ROUND('Tabla de Amortizacion'!J76,8),ROUND('Tabla de Amortizacion'!L76,8))))))</f>
        <v>0</v>
      </c>
    </row>
    <row r="76" spans="1:2" ht="12.75">
      <c r="A76" s="32">
        <f t="shared" si="2"/>
        <v>44547</v>
      </c>
      <c r="B76" s="33">
        <f>IF('CALCULADORA TIL L-1'!$F$10="Contractual",ROUND('Tabla de Amortizacion'!B77,8),IF('CALCULADORA TIL L-1'!$F$10="6% (Medio)",ROUND('Tabla de Amortizacion'!D77,8),IF('CALCULADORA TIL L-1'!$F$10="10% (Medio Alto)",ROUND('Tabla de Amortizacion'!F77,8),IF('CALCULADORA TIL L-1'!$F$10="14% (Alto)",ROUND('Tabla de Amortizacion'!H77,8),IF('CALCULADORA TIL L-1'!$F$10=20%,ROUND('Tabla de Amortizacion'!J77,8),ROUND('Tabla de Amortizacion'!L77,8))))))</f>
        <v>0</v>
      </c>
    </row>
    <row r="77" spans="1:2" ht="12.75">
      <c r="A77" s="32">
        <f t="shared" si="2"/>
        <v>44578</v>
      </c>
      <c r="B77" s="33">
        <f>IF('CALCULADORA TIL L-1'!$F$10="Contractual",ROUND('Tabla de Amortizacion'!B78,8),IF('CALCULADORA TIL L-1'!$F$10="6% (Medio)",ROUND('Tabla de Amortizacion'!D78,8),IF('CALCULADORA TIL L-1'!$F$10="10% (Medio Alto)",ROUND('Tabla de Amortizacion'!F78,8),IF('CALCULADORA TIL L-1'!$F$10="14% (Alto)",ROUND('Tabla de Amortizacion'!H78,8),IF('CALCULADORA TIL L-1'!$F$10=20%,ROUND('Tabla de Amortizacion'!J78,8),ROUND('Tabla de Amortizacion'!L78,8))))))</f>
        <v>0</v>
      </c>
    </row>
    <row r="78" spans="1:2" ht="12.75">
      <c r="A78" s="32">
        <f t="shared" si="2"/>
        <v>44609</v>
      </c>
      <c r="B78" s="33">
        <f>IF('CALCULADORA TIL L-1'!$F$10="Contractual",ROUND('Tabla de Amortizacion'!B79,8),IF('CALCULADORA TIL L-1'!$F$10="6% (Medio)",ROUND('Tabla de Amortizacion'!D79,8),IF('CALCULADORA TIL L-1'!$F$10="10% (Medio Alto)",ROUND('Tabla de Amortizacion'!F79,8),IF('CALCULADORA TIL L-1'!$F$10="14% (Alto)",ROUND('Tabla de Amortizacion'!H79,8),IF('CALCULADORA TIL L-1'!$F$10=20%,ROUND('Tabla de Amortizacion'!J79,8),ROUND('Tabla de Amortizacion'!L79,8))))))</f>
        <v>0</v>
      </c>
    </row>
    <row r="79" spans="1:2" ht="12.75">
      <c r="A79" s="32">
        <f t="shared" si="2"/>
        <v>44637</v>
      </c>
      <c r="B79" s="33">
        <f>IF('CALCULADORA TIL L-1'!$F$10="Contractual",ROUND('Tabla de Amortizacion'!B80,8),IF('CALCULADORA TIL L-1'!$F$10="6% (Medio)",ROUND('Tabla de Amortizacion'!D80,8),IF('CALCULADORA TIL L-1'!$F$10="10% (Medio Alto)",ROUND('Tabla de Amortizacion'!F80,8),IF('CALCULADORA TIL L-1'!$F$10="14% (Alto)",ROUND('Tabla de Amortizacion'!H80,8),IF('CALCULADORA TIL L-1'!$F$10=20%,ROUND('Tabla de Amortizacion'!J80,8),ROUND('Tabla de Amortizacion'!L80,8))))))</f>
        <v>0</v>
      </c>
    </row>
    <row r="80" spans="1:2" ht="12.75">
      <c r="A80" s="32">
        <f t="shared" si="2"/>
        <v>44668</v>
      </c>
      <c r="B80" s="33">
        <f>IF('CALCULADORA TIL L-1'!$F$10="Contractual",ROUND('Tabla de Amortizacion'!B81,8),IF('CALCULADORA TIL L-1'!$F$10="6% (Medio)",ROUND('Tabla de Amortizacion'!D81,8),IF('CALCULADORA TIL L-1'!$F$10="10% (Medio Alto)",ROUND('Tabla de Amortizacion'!F81,8),IF('CALCULADORA TIL L-1'!$F$10="14% (Alto)",ROUND('Tabla de Amortizacion'!H81,8),IF('CALCULADORA TIL L-1'!$F$10=20%,ROUND('Tabla de Amortizacion'!J81,8),ROUND('Tabla de Amortizacion'!L81,8))))))</f>
        <v>0</v>
      </c>
    </row>
    <row r="81" spans="1:2" ht="12.75">
      <c r="A81" s="32">
        <f t="shared" si="2"/>
        <v>44698</v>
      </c>
      <c r="B81" s="33">
        <f>IF('CALCULADORA TIL L-1'!$F$10="Contractual",ROUND('Tabla de Amortizacion'!B82,8),IF('CALCULADORA TIL L-1'!$F$10="6% (Medio)",ROUND('Tabla de Amortizacion'!D82,8),IF('CALCULADORA TIL L-1'!$F$10="10% (Medio Alto)",ROUND('Tabla de Amortizacion'!F82,8),IF('CALCULADORA TIL L-1'!$F$10="14% (Alto)",ROUND('Tabla de Amortizacion'!H82,8),IF('CALCULADORA TIL L-1'!$F$10=20%,ROUND('Tabla de Amortizacion'!J82,8),ROUND('Tabla de Amortizacion'!L82,8))))))</f>
        <v>0</v>
      </c>
    </row>
    <row r="82" spans="1:2" ht="12.75">
      <c r="A82" s="32">
        <f t="shared" si="2"/>
        <v>44729</v>
      </c>
      <c r="B82" s="33">
        <f>IF('CALCULADORA TIL L-1'!$F$10="Contractual",ROUND('Tabla de Amortizacion'!B83,8),IF('CALCULADORA TIL L-1'!$F$10="6% (Medio)",ROUND('Tabla de Amortizacion'!D83,8),IF('CALCULADORA TIL L-1'!$F$10="10% (Medio Alto)",ROUND('Tabla de Amortizacion'!F83,8),IF('CALCULADORA TIL L-1'!$F$10="14% (Alto)",ROUND('Tabla de Amortizacion'!H83,8),IF('CALCULADORA TIL L-1'!$F$10=20%,ROUND('Tabla de Amortizacion'!J83,8),ROUND('Tabla de Amortizacion'!L83,8))))))</f>
        <v>0</v>
      </c>
    </row>
    <row r="83" spans="1:2" ht="12.75">
      <c r="A83" s="32">
        <f t="shared" si="2"/>
        <v>44759</v>
      </c>
      <c r="B83" s="33">
        <f>IF('CALCULADORA TIL L-1'!$F$10="Contractual",ROUND('Tabla de Amortizacion'!B84,8),IF('CALCULADORA TIL L-1'!$F$10="6% (Medio)",ROUND('Tabla de Amortizacion'!D84,8),IF('CALCULADORA TIL L-1'!$F$10="10% (Medio Alto)",ROUND('Tabla de Amortizacion'!F84,8),IF('CALCULADORA TIL L-1'!$F$10="14% (Alto)",ROUND('Tabla de Amortizacion'!H84,8),IF('CALCULADORA TIL L-1'!$F$10=20%,ROUND('Tabla de Amortizacion'!J84,8),ROUND('Tabla de Amortizacion'!L84,8))))))</f>
        <v>0</v>
      </c>
    </row>
    <row r="84" spans="1:2" ht="12.75">
      <c r="A84" s="32">
        <f t="shared" si="2"/>
        <v>44790</v>
      </c>
      <c r="B84" s="33">
        <f>IF('CALCULADORA TIL L-1'!$F$10="Contractual",ROUND('Tabla de Amortizacion'!B85,8),IF('CALCULADORA TIL L-1'!$F$10="6% (Medio)",ROUND('Tabla de Amortizacion'!D85,8),IF('CALCULADORA TIL L-1'!$F$10="10% (Medio Alto)",ROUND('Tabla de Amortizacion'!F85,8),IF('CALCULADORA TIL L-1'!$F$10="14% (Alto)",ROUND('Tabla de Amortizacion'!H85,8),IF('CALCULADORA TIL L-1'!$F$10=20%,ROUND('Tabla de Amortizacion'!J85,8),ROUND('Tabla de Amortizacion'!L85,8))))))</f>
        <v>0</v>
      </c>
    </row>
    <row r="85" spans="1:2" ht="12.75">
      <c r="A85" s="32">
        <f t="shared" si="2"/>
        <v>44821</v>
      </c>
      <c r="B85" s="33">
        <f>IF('CALCULADORA TIL L-1'!$F$10="Contractual",ROUND('Tabla de Amortizacion'!B86,8),IF('CALCULADORA TIL L-1'!$F$10="6% (Medio)",ROUND('Tabla de Amortizacion'!D86,8),IF('CALCULADORA TIL L-1'!$F$10="10% (Medio Alto)",ROUND('Tabla de Amortizacion'!F86,8),IF('CALCULADORA TIL L-1'!$F$10="14% (Alto)",ROUND('Tabla de Amortizacion'!H86,8),IF('CALCULADORA TIL L-1'!$F$10=20%,ROUND('Tabla de Amortizacion'!J86,8),ROUND('Tabla de Amortizacion'!L86,8))))))</f>
        <v>0</v>
      </c>
    </row>
    <row r="86" spans="1:2" ht="12.75">
      <c r="A86" s="32">
        <f t="shared" si="2"/>
        <v>44851</v>
      </c>
      <c r="B86" s="33">
        <f>IF('CALCULADORA TIL L-1'!$F$10="Contractual",ROUND('Tabla de Amortizacion'!B87,8),IF('CALCULADORA TIL L-1'!$F$10="6% (Medio)",ROUND('Tabla de Amortizacion'!D87,8),IF('CALCULADORA TIL L-1'!$F$10="10% (Medio Alto)",ROUND('Tabla de Amortizacion'!F87,8),IF('CALCULADORA TIL L-1'!$F$10="14% (Alto)",ROUND('Tabla de Amortizacion'!H87,8),IF('CALCULADORA TIL L-1'!$F$10=20%,ROUND('Tabla de Amortizacion'!J87,8),ROUND('Tabla de Amortizacion'!L87,8))))))</f>
        <v>0</v>
      </c>
    </row>
    <row r="87" spans="1:2" ht="12.75">
      <c r="A87" s="32">
        <f t="shared" si="2"/>
        <v>44882</v>
      </c>
      <c r="B87" s="33">
        <f>IF('CALCULADORA TIL L-1'!$F$10="Contractual",ROUND('Tabla de Amortizacion'!B88,8),IF('CALCULADORA TIL L-1'!$F$10="6% (Medio)",ROUND('Tabla de Amortizacion'!D88,8),IF('CALCULADORA TIL L-1'!$F$10="10% (Medio Alto)",ROUND('Tabla de Amortizacion'!F88,8),IF('CALCULADORA TIL L-1'!$F$10="14% (Alto)",ROUND('Tabla de Amortizacion'!H88,8),IF('CALCULADORA TIL L-1'!$F$10=20%,ROUND('Tabla de Amortizacion'!J88,8),ROUND('Tabla de Amortizacion'!L88,8))))))</f>
        <v>0</v>
      </c>
    </row>
    <row r="88" spans="1:2" ht="12.75">
      <c r="A88" s="32">
        <f t="shared" si="2"/>
        <v>44912</v>
      </c>
      <c r="B88" s="33">
        <f>IF('CALCULADORA TIL L-1'!$F$10="Contractual",ROUND('Tabla de Amortizacion'!B89,8),IF('CALCULADORA TIL L-1'!$F$10="6% (Medio)",ROUND('Tabla de Amortizacion'!D89,8),IF('CALCULADORA TIL L-1'!$F$10="10% (Medio Alto)",ROUND('Tabla de Amortizacion'!F89,8),IF('CALCULADORA TIL L-1'!$F$10="14% (Alto)",ROUND('Tabla de Amortizacion'!H89,8),IF('CALCULADORA TIL L-1'!$F$10=20%,ROUND('Tabla de Amortizacion'!J89,8),ROUND('Tabla de Amortizacion'!L89,8))))))</f>
        <v>0</v>
      </c>
    </row>
    <row r="89" spans="1:2" ht="12.75">
      <c r="A89" s="32">
        <f t="shared" si="2"/>
        <v>44943</v>
      </c>
      <c r="B89" s="33">
        <f>IF('CALCULADORA TIL L-1'!$F$10="Contractual",ROUND('Tabla de Amortizacion'!B90,8),IF('CALCULADORA TIL L-1'!$F$10="6% (Medio)",ROUND('Tabla de Amortizacion'!D90,8),IF('CALCULADORA TIL L-1'!$F$10="10% (Medio Alto)",ROUND('Tabla de Amortizacion'!F90,8),IF('CALCULADORA TIL L-1'!$F$10="14% (Alto)",ROUND('Tabla de Amortizacion'!H90,8),IF('CALCULADORA TIL L-1'!$F$10=20%,ROUND('Tabla de Amortizacion'!J90,8),ROUND('Tabla de Amortizacion'!L90,8))))))</f>
        <v>0</v>
      </c>
    </row>
    <row r="90" spans="1:2" ht="12.75">
      <c r="A90" s="32">
        <f t="shared" si="2"/>
        <v>44974</v>
      </c>
      <c r="B90" s="33">
        <f>IF('CALCULADORA TIL L-1'!$F$10="Contractual",ROUND('Tabla de Amortizacion'!B91,8),IF('CALCULADORA TIL L-1'!$F$10="6% (Medio)",ROUND('Tabla de Amortizacion'!D91,8),IF('CALCULADORA TIL L-1'!$F$10="10% (Medio Alto)",ROUND('Tabla de Amortizacion'!F91,8),IF('CALCULADORA TIL L-1'!$F$10="14% (Alto)",ROUND('Tabla de Amortizacion'!H91,8),IF('CALCULADORA TIL L-1'!$F$10=20%,ROUND('Tabla de Amortizacion'!J91,8),ROUND('Tabla de Amortizacion'!L91,8))))))</f>
        <v>0</v>
      </c>
    </row>
    <row r="91" spans="1:2" ht="12.75">
      <c r="A91" s="32">
        <f t="shared" si="2"/>
        <v>45002</v>
      </c>
      <c r="B91" s="33">
        <f>IF('CALCULADORA TIL L-1'!$F$10="Contractual",ROUND('Tabla de Amortizacion'!B92,8),IF('CALCULADORA TIL L-1'!$F$10="6% (Medio)",ROUND('Tabla de Amortizacion'!D92,8),IF('CALCULADORA TIL L-1'!$F$10="10% (Medio Alto)",ROUND('Tabla de Amortizacion'!F92,8),IF('CALCULADORA TIL L-1'!$F$10="14% (Alto)",ROUND('Tabla de Amortizacion'!H92,8),IF('CALCULADORA TIL L-1'!$F$10=20%,ROUND('Tabla de Amortizacion'!J92,8),ROUND('Tabla de Amortizacion'!L92,8))))))</f>
        <v>0</v>
      </c>
    </row>
    <row r="92" spans="1:2" ht="12.75">
      <c r="A92" s="32">
        <f t="shared" si="2"/>
        <v>45033</v>
      </c>
      <c r="B92" s="33">
        <f>IF('CALCULADORA TIL L-1'!$F$10="Contractual",ROUND('Tabla de Amortizacion'!B93,8),IF('CALCULADORA TIL L-1'!$F$10="6% (Medio)",ROUND('Tabla de Amortizacion'!D93,8),IF('CALCULADORA TIL L-1'!$F$10="10% (Medio Alto)",ROUND('Tabla de Amortizacion'!F93,8),IF('CALCULADORA TIL L-1'!$F$10="14% (Alto)",ROUND('Tabla de Amortizacion'!H93,8),IF('CALCULADORA TIL L-1'!$F$10=20%,ROUND('Tabla de Amortizacion'!J93,8),ROUND('Tabla de Amortizacion'!L93,8))))))</f>
        <v>0</v>
      </c>
    </row>
    <row r="93" spans="1:2" ht="12.75">
      <c r="A93" s="32">
        <f t="shared" si="2"/>
        <v>45063</v>
      </c>
      <c r="B93" s="33">
        <f>IF('CALCULADORA TIL L-1'!$F$10="Contractual",ROUND('Tabla de Amortizacion'!B94,8),IF('CALCULADORA TIL L-1'!$F$10="6% (Medio)",ROUND('Tabla de Amortizacion'!D94,8),IF('CALCULADORA TIL L-1'!$F$10="10% (Medio Alto)",ROUND('Tabla de Amortizacion'!F94,8),IF('CALCULADORA TIL L-1'!$F$10="14% (Alto)",ROUND('Tabla de Amortizacion'!H94,8),IF('CALCULADORA TIL L-1'!$F$10=20%,ROUND('Tabla de Amortizacion'!J94,8),ROUND('Tabla de Amortizacion'!L94,8))))))</f>
        <v>0</v>
      </c>
    </row>
    <row r="94" spans="1:2" ht="12.75">
      <c r="A94" s="32">
        <f t="shared" si="2"/>
        <v>45094</v>
      </c>
      <c r="B94" s="33">
        <f>IF('CALCULADORA TIL L-1'!$F$10="Contractual",ROUND('Tabla de Amortizacion'!B95,8),IF('CALCULADORA TIL L-1'!$F$10="6% (Medio)",ROUND('Tabla de Amortizacion'!D95,8),IF('CALCULADORA TIL L-1'!$F$10="10% (Medio Alto)",ROUND('Tabla de Amortizacion'!F95,8),IF('CALCULADORA TIL L-1'!$F$10="14% (Alto)",ROUND('Tabla de Amortizacion'!H95,8),IF('CALCULADORA TIL L-1'!$F$10=20%,ROUND('Tabla de Amortizacion'!J95,8),ROUND('Tabla de Amortizacion'!L95,8))))))</f>
        <v>0</v>
      </c>
    </row>
    <row r="95" spans="1:2" ht="12.75">
      <c r="A95" s="32">
        <f t="shared" si="2"/>
        <v>45124</v>
      </c>
      <c r="B95" s="33">
        <f>IF('CALCULADORA TIL L-1'!$F$10="Contractual",ROUND('Tabla de Amortizacion'!B96,8),IF('CALCULADORA TIL L-1'!$F$10="6% (Medio)",ROUND('Tabla de Amortizacion'!D96,8),IF('CALCULADORA TIL L-1'!$F$10="10% (Medio Alto)",ROUND('Tabla de Amortizacion'!F96,8),IF('CALCULADORA TIL L-1'!$F$10="14% (Alto)",ROUND('Tabla de Amortizacion'!H96,8),IF('CALCULADORA TIL L-1'!$F$10=20%,ROUND('Tabla de Amortizacion'!J96,8),ROUND('Tabla de Amortizacion'!L96,8))))))</f>
        <v>0</v>
      </c>
    </row>
    <row r="96" spans="1:2" ht="12.75">
      <c r="A96" s="32">
        <f t="shared" si="2"/>
        <v>45155</v>
      </c>
      <c r="B96" s="33">
        <f>IF('CALCULADORA TIL L-1'!$F$10="Contractual",ROUND('Tabla de Amortizacion'!B97,8),IF('CALCULADORA TIL L-1'!$F$10="6% (Medio)",ROUND('Tabla de Amortizacion'!D97,8),IF('CALCULADORA TIL L-1'!$F$10="10% (Medio Alto)",ROUND('Tabla de Amortizacion'!F97,8),IF('CALCULADORA TIL L-1'!$F$10="14% (Alto)",ROUND('Tabla de Amortizacion'!H97,8),IF('CALCULADORA TIL L-1'!$F$10=20%,ROUND('Tabla de Amortizacion'!J97,8),ROUND('Tabla de Amortizacion'!L97,8))))))</f>
        <v>0</v>
      </c>
    </row>
    <row r="97" spans="1:2" ht="12.75">
      <c r="A97" s="32">
        <f t="shared" si="2"/>
        <v>45186</v>
      </c>
      <c r="B97" s="33">
        <f>IF('CALCULADORA TIL L-1'!$F$10="Contractual",ROUND('Tabla de Amortizacion'!B98,8),IF('CALCULADORA TIL L-1'!$F$10="6% (Medio)",ROUND('Tabla de Amortizacion'!D98,8),IF('CALCULADORA TIL L-1'!$F$10="10% (Medio Alto)",ROUND('Tabla de Amortizacion'!F98,8),IF('CALCULADORA TIL L-1'!$F$10="14% (Alto)",ROUND('Tabla de Amortizacion'!H98,8),IF('CALCULADORA TIL L-1'!$F$10=20%,ROUND('Tabla de Amortizacion'!J98,8),ROUND('Tabla de Amortizacion'!L98,8))))))</f>
        <v>0</v>
      </c>
    </row>
    <row r="98" spans="1:2" ht="12.75">
      <c r="A98" s="32">
        <f t="shared" si="2"/>
        <v>45216</v>
      </c>
      <c r="B98" s="33">
        <f>IF('CALCULADORA TIL L-1'!$F$10="Contractual",ROUND('Tabla de Amortizacion'!B99,8),IF('CALCULADORA TIL L-1'!$F$10="6% (Medio)",ROUND('Tabla de Amortizacion'!D99,8),IF('CALCULADORA TIL L-1'!$F$10="10% (Medio Alto)",ROUND('Tabla de Amortizacion'!F99,8),IF('CALCULADORA TIL L-1'!$F$10="14% (Alto)",ROUND('Tabla de Amortizacion'!H99,8),IF('CALCULADORA TIL L-1'!$F$10=20%,ROUND('Tabla de Amortizacion'!J99,8),ROUND('Tabla de Amortizacion'!L99,8))))))</f>
        <v>0</v>
      </c>
    </row>
    <row r="99" spans="1:2" ht="12.75">
      <c r="A99" s="32">
        <f aca="true" t="shared" si="3" ref="A99:A130">_XLL.FECHA.MES(A98,1)</f>
        <v>45247</v>
      </c>
      <c r="B99" s="33">
        <f>IF('CALCULADORA TIL L-1'!$F$10="Contractual",ROUND('Tabla de Amortizacion'!B100,8),IF('CALCULADORA TIL L-1'!$F$10="6% (Medio)",ROUND('Tabla de Amortizacion'!D100,8),IF('CALCULADORA TIL L-1'!$F$10="10% (Medio Alto)",ROUND('Tabla de Amortizacion'!F100,8),IF('CALCULADORA TIL L-1'!$F$10="14% (Alto)",ROUND('Tabla de Amortizacion'!H100,8),IF('CALCULADORA TIL L-1'!$F$10=20%,ROUND('Tabla de Amortizacion'!J100,8),ROUND('Tabla de Amortizacion'!L100,8))))))</f>
        <v>0</v>
      </c>
    </row>
    <row r="100" spans="1:2" ht="12.75">
      <c r="A100" s="32">
        <f t="shared" si="3"/>
        <v>45277</v>
      </c>
      <c r="B100" s="33">
        <f>IF('CALCULADORA TIL L-1'!$F$10="Contractual",ROUND('Tabla de Amortizacion'!B101,8),IF('CALCULADORA TIL L-1'!$F$10="6% (Medio)",ROUND('Tabla de Amortizacion'!D101,8),IF('CALCULADORA TIL L-1'!$F$10="10% (Medio Alto)",ROUND('Tabla de Amortizacion'!F101,8),IF('CALCULADORA TIL L-1'!$F$10="14% (Alto)",ROUND('Tabla de Amortizacion'!H101,8),IF('CALCULADORA TIL L-1'!$F$10=20%,ROUND('Tabla de Amortizacion'!J101,8),ROUND('Tabla de Amortizacion'!L101,8))))))</f>
        <v>0</v>
      </c>
    </row>
    <row r="101" spans="1:2" ht="12.75">
      <c r="A101" s="32">
        <f t="shared" si="3"/>
        <v>45308</v>
      </c>
      <c r="B101" s="33">
        <f>IF('CALCULADORA TIL L-1'!$F$10="Contractual",ROUND('Tabla de Amortizacion'!B102,8),IF('CALCULADORA TIL L-1'!$F$10="6% (Medio)",ROUND('Tabla de Amortizacion'!D102,8),IF('CALCULADORA TIL L-1'!$F$10="10% (Medio Alto)",ROUND('Tabla de Amortizacion'!F102,8),IF('CALCULADORA TIL L-1'!$F$10="14% (Alto)",ROUND('Tabla de Amortizacion'!H102,8),IF('CALCULADORA TIL L-1'!$F$10=20%,ROUND('Tabla de Amortizacion'!J102,8),ROUND('Tabla de Amortizacion'!L102,8))))))</f>
        <v>0</v>
      </c>
    </row>
    <row r="102" spans="1:2" ht="12.75">
      <c r="A102" s="32">
        <f t="shared" si="3"/>
        <v>45339</v>
      </c>
      <c r="B102" s="33">
        <f>IF('CALCULADORA TIL L-1'!$F$10="Contractual",ROUND('Tabla de Amortizacion'!B103,8),IF('CALCULADORA TIL L-1'!$F$10="6% (Medio)",ROUND('Tabla de Amortizacion'!D103,8),IF('CALCULADORA TIL L-1'!$F$10="10% (Medio Alto)",ROUND('Tabla de Amortizacion'!F103,8),IF('CALCULADORA TIL L-1'!$F$10="14% (Alto)",ROUND('Tabla de Amortizacion'!H103,8),IF('CALCULADORA TIL L-1'!$F$10=20%,ROUND('Tabla de Amortizacion'!J103,8),ROUND('Tabla de Amortizacion'!L103,8))))))</f>
        <v>0</v>
      </c>
    </row>
    <row r="103" spans="1:2" ht="12.75">
      <c r="A103" s="32">
        <f t="shared" si="3"/>
        <v>45368</v>
      </c>
      <c r="B103" s="33">
        <f>IF('CALCULADORA TIL L-1'!$F$10="Contractual",ROUND('Tabla de Amortizacion'!B104,8),IF('CALCULADORA TIL L-1'!$F$10="6% (Medio)",ROUND('Tabla de Amortizacion'!D104,8),IF('CALCULADORA TIL L-1'!$F$10="10% (Medio Alto)",ROUND('Tabla de Amortizacion'!F104,8),IF('CALCULADORA TIL L-1'!$F$10="14% (Alto)",ROUND('Tabla de Amortizacion'!H104,8),IF('CALCULADORA TIL L-1'!$F$10=20%,ROUND('Tabla de Amortizacion'!J104,8),ROUND('Tabla de Amortizacion'!L104,8))))))</f>
        <v>0</v>
      </c>
    </row>
    <row r="104" spans="1:2" ht="12.75">
      <c r="A104" s="32">
        <f t="shared" si="3"/>
        <v>45399</v>
      </c>
      <c r="B104" s="33">
        <f>IF('CALCULADORA TIL L-1'!$F$10="Contractual",ROUND('Tabla de Amortizacion'!B105,8),IF('CALCULADORA TIL L-1'!$F$10="6% (Medio)",ROUND('Tabla de Amortizacion'!D105,8),IF('CALCULADORA TIL L-1'!$F$10="10% (Medio Alto)",ROUND('Tabla de Amortizacion'!F105,8),IF('CALCULADORA TIL L-1'!$F$10="14% (Alto)",ROUND('Tabla de Amortizacion'!H105,8),IF('CALCULADORA TIL L-1'!$F$10=20%,ROUND('Tabla de Amortizacion'!J105,8),ROUND('Tabla de Amortizacion'!L105,8))))))</f>
        <v>0</v>
      </c>
    </row>
    <row r="105" spans="1:2" ht="12.75">
      <c r="A105" s="32">
        <f t="shared" si="3"/>
        <v>45429</v>
      </c>
      <c r="B105" s="33">
        <f>IF('CALCULADORA TIL L-1'!$F$10="Contractual",ROUND('Tabla de Amortizacion'!B106,8),IF('CALCULADORA TIL L-1'!$F$10="6% (Medio)",ROUND('Tabla de Amortizacion'!D106,8),IF('CALCULADORA TIL L-1'!$F$10="10% (Medio Alto)",ROUND('Tabla de Amortizacion'!F106,8),IF('CALCULADORA TIL L-1'!$F$10="14% (Alto)",ROUND('Tabla de Amortizacion'!H106,8),IF('CALCULADORA TIL L-1'!$F$10=20%,ROUND('Tabla de Amortizacion'!J106,8),ROUND('Tabla de Amortizacion'!L106,8))))))</f>
        <v>0</v>
      </c>
    </row>
    <row r="106" spans="1:2" ht="12.75">
      <c r="A106" s="32">
        <f t="shared" si="3"/>
        <v>45460</v>
      </c>
      <c r="B106" s="33">
        <f>IF('CALCULADORA TIL L-1'!$F$10="Contractual",ROUND('Tabla de Amortizacion'!B107,8),IF('CALCULADORA TIL L-1'!$F$10="6% (Medio)",ROUND('Tabla de Amortizacion'!D107,8),IF('CALCULADORA TIL L-1'!$F$10="10% (Medio Alto)",ROUND('Tabla de Amortizacion'!F107,8),IF('CALCULADORA TIL L-1'!$F$10="14% (Alto)",ROUND('Tabla de Amortizacion'!H107,8),IF('CALCULADORA TIL L-1'!$F$10=20%,ROUND('Tabla de Amortizacion'!J107,8),ROUND('Tabla de Amortizacion'!L107,8))))))</f>
        <v>0</v>
      </c>
    </row>
    <row r="107" spans="1:2" ht="12.75">
      <c r="A107" s="32">
        <f t="shared" si="3"/>
        <v>45490</v>
      </c>
      <c r="B107" s="33">
        <f>IF('CALCULADORA TIL L-1'!$F$10="Contractual",ROUND('Tabla de Amortizacion'!B108,8),IF('CALCULADORA TIL L-1'!$F$10="6% (Medio)",ROUND('Tabla de Amortizacion'!D108,8),IF('CALCULADORA TIL L-1'!$F$10="10% (Medio Alto)",ROUND('Tabla de Amortizacion'!F108,8),IF('CALCULADORA TIL L-1'!$F$10="14% (Alto)",ROUND('Tabla de Amortizacion'!H108,8),IF('CALCULADORA TIL L-1'!$F$10=20%,ROUND('Tabla de Amortizacion'!J108,8),ROUND('Tabla de Amortizacion'!L108,8))))))</f>
        <v>0</v>
      </c>
    </row>
    <row r="108" spans="1:2" ht="12.75">
      <c r="A108" s="32">
        <f t="shared" si="3"/>
        <v>45521</v>
      </c>
      <c r="B108" s="33">
        <f>IF('CALCULADORA TIL L-1'!$F$10="Contractual",ROUND('Tabla de Amortizacion'!B109,8),IF('CALCULADORA TIL L-1'!$F$10="6% (Medio)",ROUND('Tabla de Amortizacion'!D109,8),IF('CALCULADORA TIL L-1'!$F$10="10% (Medio Alto)",ROUND('Tabla de Amortizacion'!F109,8),IF('CALCULADORA TIL L-1'!$F$10="14% (Alto)",ROUND('Tabla de Amortizacion'!H109,8),IF('CALCULADORA TIL L-1'!$F$10=20%,ROUND('Tabla de Amortizacion'!J109,8),ROUND('Tabla de Amortizacion'!L109,8))))))</f>
        <v>0</v>
      </c>
    </row>
    <row r="109" spans="1:2" ht="12.75">
      <c r="A109" s="32">
        <f t="shared" si="3"/>
        <v>45552</v>
      </c>
      <c r="B109" s="33">
        <f>IF('CALCULADORA TIL L-1'!$F$10="Contractual",ROUND('Tabla de Amortizacion'!B110,8),IF('CALCULADORA TIL L-1'!$F$10="6% (Medio)",ROUND('Tabla de Amortizacion'!D110,8),IF('CALCULADORA TIL L-1'!$F$10="10% (Medio Alto)",ROUND('Tabla de Amortizacion'!F110,8),IF('CALCULADORA TIL L-1'!$F$10="14% (Alto)",ROUND('Tabla de Amortizacion'!H110,8),IF('CALCULADORA TIL L-1'!$F$10=20%,ROUND('Tabla de Amortizacion'!J110,8),ROUND('Tabla de Amortizacion'!L110,8))))))</f>
        <v>0</v>
      </c>
    </row>
    <row r="110" spans="1:2" ht="12.75">
      <c r="A110" s="32">
        <f t="shared" si="3"/>
        <v>45582</v>
      </c>
      <c r="B110" s="33">
        <f>IF('CALCULADORA TIL L-1'!$F$10="Contractual",ROUND('Tabla de Amortizacion'!B111,8),IF('CALCULADORA TIL L-1'!$F$10="6% (Medio)",ROUND('Tabla de Amortizacion'!D111,8),IF('CALCULADORA TIL L-1'!$F$10="10% (Medio Alto)",ROUND('Tabla de Amortizacion'!F111,8),IF('CALCULADORA TIL L-1'!$F$10="14% (Alto)",ROUND('Tabla de Amortizacion'!H111,8),IF('CALCULADORA TIL L-1'!$F$10=20%,ROUND('Tabla de Amortizacion'!J111,8),ROUND('Tabla de Amortizacion'!L111,8))))))</f>
        <v>0</v>
      </c>
    </row>
    <row r="111" spans="1:2" ht="12.75">
      <c r="A111" s="32">
        <f t="shared" si="3"/>
        <v>45613</v>
      </c>
      <c r="B111" s="33">
        <f>IF('CALCULADORA TIL L-1'!$F$10="Contractual",ROUND('Tabla de Amortizacion'!B112,8),IF('CALCULADORA TIL L-1'!$F$10="6% (Medio)",ROUND('Tabla de Amortizacion'!D112,8),IF('CALCULADORA TIL L-1'!$F$10="10% (Medio Alto)",ROUND('Tabla de Amortizacion'!F112,8),IF('CALCULADORA TIL L-1'!$F$10="14% (Alto)",ROUND('Tabla de Amortizacion'!H112,8),IF('CALCULADORA TIL L-1'!$F$10=20%,ROUND('Tabla de Amortizacion'!J112,8),ROUND('Tabla de Amortizacion'!L112,8))))))</f>
        <v>0</v>
      </c>
    </row>
    <row r="112" spans="1:2" ht="12.75">
      <c r="A112" s="32">
        <f t="shared" si="3"/>
        <v>45643</v>
      </c>
      <c r="B112" s="33">
        <f>IF('CALCULADORA TIL L-1'!$F$10="Contractual",ROUND('Tabla de Amortizacion'!B113,8),IF('CALCULADORA TIL L-1'!$F$10="6% (Medio)",ROUND('Tabla de Amortizacion'!D113,8),IF('CALCULADORA TIL L-1'!$F$10="10% (Medio Alto)",ROUND('Tabla de Amortizacion'!F113,8),IF('CALCULADORA TIL L-1'!$F$10="14% (Alto)",ROUND('Tabla de Amortizacion'!H113,8),IF('CALCULADORA TIL L-1'!$F$10=20%,ROUND('Tabla de Amortizacion'!J113,8),ROUND('Tabla de Amortizacion'!L113,8))))))</f>
        <v>0</v>
      </c>
    </row>
    <row r="113" spans="1:2" ht="12.75">
      <c r="A113" s="32">
        <f t="shared" si="3"/>
        <v>45674</v>
      </c>
      <c r="B113" s="33">
        <f>IF('CALCULADORA TIL L-1'!$F$10="Contractual",ROUND('Tabla de Amortizacion'!B114,8),IF('CALCULADORA TIL L-1'!$F$10="6% (Medio)",ROUND('Tabla de Amortizacion'!D114,8),IF('CALCULADORA TIL L-1'!$F$10="10% (Medio Alto)",ROUND('Tabla de Amortizacion'!F114,8),IF('CALCULADORA TIL L-1'!$F$10="14% (Alto)",ROUND('Tabla de Amortizacion'!H114,8),IF('CALCULADORA TIL L-1'!$F$10=20%,ROUND('Tabla de Amortizacion'!J114,8),ROUND('Tabla de Amortizacion'!L114,8))))))</f>
        <v>0</v>
      </c>
    </row>
    <row r="114" spans="1:2" ht="12.75">
      <c r="A114" s="32">
        <f t="shared" si="3"/>
        <v>45705</v>
      </c>
      <c r="B114" s="33">
        <f>IF('CALCULADORA TIL L-1'!$F$10="Contractual",ROUND('Tabla de Amortizacion'!B115,8),IF('CALCULADORA TIL L-1'!$F$10="6% (Medio)",ROUND('Tabla de Amortizacion'!D115,8),IF('CALCULADORA TIL L-1'!$F$10="10% (Medio Alto)",ROUND('Tabla de Amortizacion'!F115,8),IF('CALCULADORA TIL L-1'!$F$10="14% (Alto)",ROUND('Tabla de Amortizacion'!H115,8),IF('CALCULADORA TIL L-1'!$F$10=20%,ROUND('Tabla de Amortizacion'!J115,8),ROUND('Tabla de Amortizacion'!L115,8))))))</f>
        <v>0</v>
      </c>
    </row>
    <row r="115" spans="1:2" ht="12.75">
      <c r="A115" s="32">
        <f t="shared" si="3"/>
        <v>45733</v>
      </c>
      <c r="B115" s="33">
        <f>IF('CALCULADORA TIL L-1'!$F$10="Contractual",ROUND('Tabla de Amortizacion'!B116,8),IF('CALCULADORA TIL L-1'!$F$10="6% (Medio)",ROUND('Tabla de Amortizacion'!D116,8),IF('CALCULADORA TIL L-1'!$F$10="10% (Medio Alto)",ROUND('Tabla de Amortizacion'!F116,8),IF('CALCULADORA TIL L-1'!$F$10="14% (Alto)",ROUND('Tabla de Amortizacion'!H116,8),IF('CALCULADORA TIL L-1'!$F$10=20%,ROUND('Tabla de Amortizacion'!J116,8),ROUND('Tabla de Amortizacion'!L116,8))))))</f>
        <v>0</v>
      </c>
    </row>
    <row r="116" spans="1:2" ht="12.75">
      <c r="A116" s="32">
        <f t="shared" si="3"/>
        <v>45764</v>
      </c>
      <c r="B116" s="33">
        <f>IF('CALCULADORA TIL L-1'!$F$10="Contractual",ROUND('Tabla de Amortizacion'!B117,8),IF('CALCULADORA TIL L-1'!$F$10="6% (Medio)",ROUND('Tabla de Amortizacion'!D117,8),IF('CALCULADORA TIL L-1'!$F$10="10% (Medio Alto)",ROUND('Tabla de Amortizacion'!F117,8),IF('CALCULADORA TIL L-1'!$F$10="14% (Alto)",ROUND('Tabla de Amortizacion'!H117,8),IF('CALCULADORA TIL L-1'!$F$10=20%,ROUND('Tabla de Amortizacion'!J117,8),ROUND('Tabla de Amortizacion'!L117,8))))))</f>
        <v>0</v>
      </c>
    </row>
    <row r="117" spans="1:2" ht="12.75">
      <c r="A117" s="32">
        <f t="shared" si="3"/>
        <v>45794</v>
      </c>
      <c r="B117" s="33">
        <f>IF('CALCULADORA TIL L-1'!$F$10="Contractual",ROUND('Tabla de Amortizacion'!B118,8),IF('CALCULADORA TIL L-1'!$F$10="6% (Medio)",ROUND('Tabla de Amortizacion'!D118,8),IF('CALCULADORA TIL L-1'!$F$10="10% (Medio Alto)",ROUND('Tabla de Amortizacion'!F118,8),IF('CALCULADORA TIL L-1'!$F$10="14% (Alto)",ROUND('Tabla de Amortizacion'!H118,8),IF('CALCULADORA TIL L-1'!$F$10=20%,ROUND('Tabla de Amortizacion'!J118,8),ROUND('Tabla de Amortizacion'!L118,8))))))</f>
        <v>0</v>
      </c>
    </row>
    <row r="118" spans="1:2" ht="12.75">
      <c r="A118" s="32">
        <f t="shared" si="3"/>
        <v>45825</v>
      </c>
      <c r="B118" s="33">
        <f>IF('CALCULADORA TIL L-1'!$F$10="Contractual",ROUND('Tabla de Amortizacion'!B119,8),IF('CALCULADORA TIL L-1'!$F$10="6% (Medio)",ROUND('Tabla de Amortizacion'!D119,8),IF('CALCULADORA TIL L-1'!$F$10="10% (Medio Alto)",ROUND('Tabla de Amortizacion'!F119,8),IF('CALCULADORA TIL L-1'!$F$10="14% (Alto)",ROUND('Tabla de Amortizacion'!H119,8),IF('CALCULADORA TIL L-1'!$F$10=20%,ROUND('Tabla de Amortizacion'!J119,8),ROUND('Tabla de Amortizacion'!L119,8))))))</f>
        <v>0</v>
      </c>
    </row>
    <row r="119" spans="1:2" ht="12.75">
      <c r="A119" s="32">
        <f t="shared" si="3"/>
        <v>45855</v>
      </c>
      <c r="B119" s="33">
        <f>IF('CALCULADORA TIL L-1'!$F$10="Contractual",ROUND('Tabla de Amortizacion'!B120,8),IF('CALCULADORA TIL L-1'!$F$10="6% (Medio)",ROUND('Tabla de Amortizacion'!D120,8),IF('CALCULADORA TIL L-1'!$F$10="10% (Medio Alto)",ROUND('Tabla de Amortizacion'!F120,8),IF('CALCULADORA TIL L-1'!$F$10="14% (Alto)",ROUND('Tabla de Amortizacion'!H120,8),IF('CALCULADORA TIL L-1'!$F$10=20%,ROUND('Tabla de Amortizacion'!J120,8),ROUND('Tabla de Amortizacion'!L120,8))))))</f>
        <v>0</v>
      </c>
    </row>
    <row r="120" spans="1:2" ht="12.75">
      <c r="A120" s="32">
        <f t="shared" si="3"/>
        <v>45886</v>
      </c>
      <c r="B120" s="33">
        <f>IF('CALCULADORA TIL L-1'!$F$10="Contractual",ROUND('Tabla de Amortizacion'!B121,8),IF('CALCULADORA TIL L-1'!$F$10="6% (Medio)",ROUND('Tabla de Amortizacion'!D121,8),IF('CALCULADORA TIL L-1'!$F$10="10% (Medio Alto)",ROUND('Tabla de Amortizacion'!F121,8),IF('CALCULADORA TIL L-1'!$F$10="14% (Alto)",ROUND('Tabla de Amortizacion'!H121,8),IF('CALCULADORA TIL L-1'!$F$10=20%,ROUND('Tabla de Amortizacion'!J121,8),ROUND('Tabla de Amortizacion'!L121,8))))))</f>
        <v>0</v>
      </c>
    </row>
    <row r="121" spans="1:2" ht="12.75">
      <c r="A121" s="32">
        <f t="shared" si="3"/>
        <v>45917</v>
      </c>
      <c r="B121" s="33">
        <f>IF('CALCULADORA TIL L-1'!$F$10="Contractual",ROUND('Tabla de Amortizacion'!B122,8),IF('CALCULADORA TIL L-1'!$F$10="6% (Medio)",ROUND('Tabla de Amortizacion'!D122,8),IF('CALCULADORA TIL L-1'!$F$10="10% (Medio Alto)",ROUND('Tabla de Amortizacion'!F122,8),IF('CALCULADORA TIL L-1'!$F$10="14% (Alto)",ROUND('Tabla de Amortizacion'!H122,8),IF('CALCULADORA TIL L-1'!$F$10=20%,ROUND('Tabla de Amortizacion'!J122,8),ROUND('Tabla de Amortizacion'!L122,8))))))</f>
        <v>0</v>
      </c>
    </row>
    <row r="122" spans="1:2" ht="12.75">
      <c r="A122" s="32">
        <f t="shared" si="3"/>
        <v>45947</v>
      </c>
      <c r="B122" s="33">
        <f>IF('CALCULADORA TIL L-1'!$F$10="Contractual",ROUND('Tabla de Amortizacion'!B123,8),IF('CALCULADORA TIL L-1'!$F$10="6% (Medio)",ROUND('Tabla de Amortizacion'!D123,8),IF('CALCULADORA TIL L-1'!$F$10="10% (Medio Alto)",ROUND('Tabla de Amortizacion'!F123,8),IF('CALCULADORA TIL L-1'!$F$10="14% (Alto)",ROUND('Tabla de Amortizacion'!H123,8),IF('CALCULADORA TIL L-1'!$F$10=20%,ROUND('Tabla de Amortizacion'!J123,8),ROUND('Tabla de Amortizacion'!L123,8))))))</f>
        <v>0</v>
      </c>
    </row>
    <row r="123" spans="1:2" ht="12.75">
      <c r="A123" s="32">
        <f t="shared" si="3"/>
        <v>45978</v>
      </c>
      <c r="B123" s="33">
        <f>IF('CALCULADORA TIL L-1'!$F$10="Contractual",ROUND('Tabla de Amortizacion'!B124,8),IF('CALCULADORA TIL L-1'!$F$10="6% (Medio)",ROUND('Tabla de Amortizacion'!D124,8),IF('CALCULADORA TIL L-1'!$F$10="10% (Medio Alto)",ROUND('Tabla de Amortizacion'!F124,8),IF('CALCULADORA TIL L-1'!$F$10="14% (Alto)",ROUND('Tabla de Amortizacion'!H124,8),IF('CALCULADORA TIL L-1'!$F$10=20%,ROUND('Tabla de Amortizacion'!J124,8),ROUND('Tabla de Amortizacion'!L124,8))))))</f>
        <v>0</v>
      </c>
    </row>
    <row r="124" spans="1:2" ht="12.75">
      <c r="A124" s="32">
        <f t="shared" si="3"/>
        <v>46008</v>
      </c>
      <c r="B124" s="33">
        <f>IF('CALCULADORA TIL L-1'!$F$10="Contractual",ROUND('Tabla de Amortizacion'!B125,8),IF('CALCULADORA TIL L-1'!$F$10="6% (Medio)",ROUND('Tabla de Amortizacion'!D125,8),IF('CALCULADORA TIL L-1'!$F$10="10% (Medio Alto)",ROUND('Tabla de Amortizacion'!F125,8),IF('CALCULADORA TIL L-1'!$F$10="14% (Alto)",ROUND('Tabla de Amortizacion'!H125,8),IF('CALCULADORA TIL L-1'!$F$10=20%,ROUND('Tabla de Amortizacion'!J125,8),ROUND('Tabla de Amortizacion'!L125,8))))))</f>
        <v>0</v>
      </c>
    </row>
    <row r="125" spans="1:2" ht="12.75">
      <c r="A125" s="32">
        <f t="shared" si="3"/>
        <v>46039</v>
      </c>
      <c r="B125" s="33">
        <f>IF('CALCULADORA TIL L-1'!$F$10="Contractual",ROUND('Tabla de Amortizacion'!B126,8),IF('CALCULADORA TIL L-1'!$F$10="6% (Medio)",ROUND('Tabla de Amortizacion'!D126,8),IF('CALCULADORA TIL L-1'!$F$10="10% (Medio Alto)",ROUND('Tabla de Amortizacion'!F126,8),IF('CALCULADORA TIL L-1'!$F$10="14% (Alto)",ROUND('Tabla de Amortizacion'!H126,8),IF('CALCULADORA TIL L-1'!$F$10=20%,ROUND('Tabla de Amortizacion'!J126,8),ROUND('Tabla de Amortizacion'!L126,8))))))</f>
        <v>0</v>
      </c>
    </row>
    <row r="126" spans="1:2" ht="12.75">
      <c r="A126" s="32">
        <f t="shared" si="3"/>
        <v>46070</v>
      </c>
      <c r="B126" s="33">
        <f>IF('CALCULADORA TIL L-1'!$F$10="Contractual",ROUND('Tabla de Amortizacion'!B127,8),IF('CALCULADORA TIL L-1'!$F$10="6% (Medio)",ROUND('Tabla de Amortizacion'!D127,8),IF('CALCULADORA TIL L-1'!$F$10="10% (Medio Alto)",ROUND('Tabla de Amortizacion'!F127,8),IF('CALCULADORA TIL L-1'!$F$10="14% (Alto)",ROUND('Tabla de Amortizacion'!H127,8),IF('CALCULADORA TIL L-1'!$F$10=20%,ROUND('Tabla de Amortizacion'!J127,8),ROUND('Tabla de Amortizacion'!L127,8))))))</f>
        <v>0</v>
      </c>
    </row>
    <row r="127" spans="1:2" ht="12.75">
      <c r="A127" s="32">
        <f t="shared" si="3"/>
        <v>46098</v>
      </c>
      <c r="B127" s="33">
        <f>IF('CALCULADORA TIL L-1'!$F$10="Contractual",ROUND('Tabla de Amortizacion'!B128,8),IF('CALCULADORA TIL L-1'!$F$10="6% (Medio)",ROUND('Tabla de Amortizacion'!D128,8),IF('CALCULADORA TIL L-1'!$F$10="10% (Medio Alto)",ROUND('Tabla de Amortizacion'!F128,8),IF('CALCULADORA TIL L-1'!$F$10="14% (Alto)",ROUND('Tabla de Amortizacion'!H128,8),IF('CALCULADORA TIL L-1'!$F$10=20%,ROUND('Tabla de Amortizacion'!J128,8),ROUND('Tabla de Amortizacion'!L128,8))))))</f>
        <v>0</v>
      </c>
    </row>
    <row r="128" spans="1:2" ht="12.75">
      <c r="A128" s="32">
        <f t="shared" si="3"/>
        <v>46129</v>
      </c>
      <c r="B128" s="33">
        <f>IF('CALCULADORA TIL L-1'!$F$10="Contractual",ROUND('Tabla de Amortizacion'!B129,8),IF('CALCULADORA TIL L-1'!$F$10="6% (Medio)",ROUND('Tabla de Amortizacion'!D129,8),IF('CALCULADORA TIL L-1'!$F$10="10% (Medio Alto)",ROUND('Tabla de Amortizacion'!F129,8),IF('CALCULADORA TIL L-1'!$F$10="14% (Alto)",ROUND('Tabla de Amortizacion'!H129,8),IF('CALCULADORA TIL L-1'!$F$10=20%,ROUND('Tabla de Amortizacion'!J129,8),ROUND('Tabla de Amortizacion'!L129,8))))))</f>
        <v>0</v>
      </c>
    </row>
    <row r="129" spans="1:2" ht="12.75">
      <c r="A129" s="32">
        <f t="shared" si="3"/>
        <v>46159</v>
      </c>
      <c r="B129" s="33">
        <f>IF('CALCULADORA TIL L-1'!$F$10="Contractual",ROUND('Tabla de Amortizacion'!B130,8),IF('CALCULADORA TIL L-1'!$F$10="6% (Medio)",ROUND('Tabla de Amortizacion'!D130,8),IF('CALCULADORA TIL L-1'!$F$10="10% (Medio Alto)",ROUND('Tabla de Amortizacion'!F130,8),IF('CALCULADORA TIL L-1'!$F$10="14% (Alto)",ROUND('Tabla de Amortizacion'!H130,8),IF('CALCULADORA TIL L-1'!$F$10=20%,ROUND('Tabla de Amortizacion'!J130,8),ROUND('Tabla de Amortizacion'!L130,8))))))</f>
        <v>0</v>
      </c>
    </row>
    <row r="130" spans="1:2" ht="12.75">
      <c r="A130" s="32">
        <f t="shared" si="3"/>
        <v>46190</v>
      </c>
      <c r="B130" s="33">
        <f>IF('CALCULADORA TIL L-1'!$F$10="Contractual",ROUND('Tabla de Amortizacion'!B131,8),IF('CALCULADORA TIL L-1'!$F$10="6% (Medio)",ROUND('Tabla de Amortizacion'!D131,8),IF('CALCULADORA TIL L-1'!$F$10="10% (Medio Alto)",ROUND('Tabla de Amortizacion'!F131,8),IF('CALCULADORA TIL L-1'!$F$10="14% (Alto)",ROUND('Tabla de Amortizacion'!H131,8),IF('CALCULADORA TIL L-1'!$F$10=20%,ROUND('Tabla de Amortizacion'!J131,8),ROUND('Tabla de Amortizacion'!L131,8))))))</f>
        <v>0</v>
      </c>
    </row>
    <row r="131" spans="1:2" ht="12.75">
      <c r="A131" s="32">
        <f aca="true" t="shared" si="4" ref="A131:A162">_XLL.FECHA.MES(A130,1)</f>
        <v>46220</v>
      </c>
      <c r="B131" s="33">
        <f>IF('CALCULADORA TIL L-1'!$F$10="Contractual",ROUND('Tabla de Amortizacion'!B132,8),IF('CALCULADORA TIL L-1'!$F$10="6% (Medio)",ROUND('Tabla de Amortizacion'!D132,8),IF('CALCULADORA TIL L-1'!$F$10="10% (Medio Alto)",ROUND('Tabla de Amortizacion'!F132,8),IF('CALCULADORA TIL L-1'!$F$10="14% (Alto)",ROUND('Tabla de Amortizacion'!H132,8),IF('CALCULADORA TIL L-1'!$F$10=20%,ROUND('Tabla de Amortizacion'!J132,8),ROUND('Tabla de Amortizacion'!L132,8))))))</f>
        <v>0</v>
      </c>
    </row>
    <row r="132" spans="1:2" ht="12.75">
      <c r="A132" s="32">
        <f t="shared" si="4"/>
        <v>46251</v>
      </c>
      <c r="B132" s="33">
        <f>IF('CALCULADORA TIL L-1'!$F$10="Contractual",ROUND('Tabla de Amortizacion'!B133,8),IF('CALCULADORA TIL L-1'!$F$10="6% (Medio)",ROUND('Tabla de Amortizacion'!D133,8),IF('CALCULADORA TIL L-1'!$F$10="10% (Medio Alto)",ROUND('Tabla de Amortizacion'!F133,8),IF('CALCULADORA TIL L-1'!$F$10="14% (Alto)",ROUND('Tabla de Amortizacion'!H133,8),IF('CALCULADORA TIL L-1'!$F$10=20%,ROUND('Tabla de Amortizacion'!J133,8),ROUND('Tabla de Amortizacion'!L133,8))))))</f>
        <v>0</v>
      </c>
    </row>
    <row r="133" spans="1:2" ht="12.75">
      <c r="A133" s="32">
        <f t="shared" si="4"/>
        <v>46282</v>
      </c>
      <c r="B133" s="33">
        <f>IF('CALCULADORA TIL L-1'!$F$10="Contractual",ROUND('Tabla de Amortizacion'!B134,8),IF('CALCULADORA TIL L-1'!$F$10="6% (Medio)",ROUND('Tabla de Amortizacion'!D134,8),IF('CALCULADORA TIL L-1'!$F$10="10% (Medio Alto)",ROUND('Tabla de Amortizacion'!F134,8),IF('CALCULADORA TIL L-1'!$F$10="14% (Alto)",ROUND('Tabla de Amortizacion'!H134,8),IF('CALCULADORA TIL L-1'!$F$10=20%,ROUND('Tabla de Amortizacion'!J134,8),ROUND('Tabla de Amortizacion'!L134,8))))))</f>
        <v>0</v>
      </c>
    </row>
    <row r="134" spans="1:2" ht="12.75">
      <c r="A134" s="32">
        <f t="shared" si="4"/>
        <v>46312</v>
      </c>
      <c r="B134" s="33">
        <f>IF('CALCULADORA TIL L-1'!$F$10="Contractual",ROUND('Tabla de Amortizacion'!B135,8),IF('CALCULADORA TIL L-1'!$F$10="6% (Medio)",ROUND('Tabla de Amortizacion'!D135,8),IF('CALCULADORA TIL L-1'!$F$10="10% (Medio Alto)",ROUND('Tabla de Amortizacion'!F135,8),IF('CALCULADORA TIL L-1'!$F$10="14% (Alto)",ROUND('Tabla de Amortizacion'!H135,8),IF('CALCULADORA TIL L-1'!$F$10=20%,ROUND('Tabla de Amortizacion'!J135,8),ROUND('Tabla de Amortizacion'!L135,8))))))</f>
        <v>0</v>
      </c>
    </row>
    <row r="135" spans="1:2" ht="12.75">
      <c r="A135" s="32">
        <f t="shared" si="4"/>
        <v>46343</v>
      </c>
      <c r="B135" s="33">
        <f>IF('CALCULADORA TIL L-1'!$F$10="Contractual",ROUND('Tabla de Amortizacion'!B136,8),IF('CALCULADORA TIL L-1'!$F$10="6% (Medio)",ROUND('Tabla de Amortizacion'!D136,8),IF('CALCULADORA TIL L-1'!$F$10="10% (Medio Alto)",ROUND('Tabla de Amortizacion'!F136,8),IF('CALCULADORA TIL L-1'!$F$10="14% (Alto)",ROUND('Tabla de Amortizacion'!H136,8),IF('CALCULADORA TIL L-1'!$F$10=20%,ROUND('Tabla de Amortizacion'!J136,8),ROUND('Tabla de Amortizacion'!L136,8))))))</f>
        <v>0</v>
      </c>
    </row>
    <row r="136" spans="1:2" ht="12.75">
      <c r="A136" s="32">
        <f t="shared" si="4"/>
        <v>46373</v>
      </c>
      <c r="B136" s="33">
        <f>IF('CALCULADORA TIL L-1'!$F$10="Contractual",ROUND('Tabla de Amortizacion'!B137,8),IF('CALCULADORA TIL L-1'!$F$10="6% (Medio)",ROUND('Tabla de Amortizacion'!D137,8),IF('CALCULADORA TIL L-1'!$F$10="10% (Medio Alto)",ROUND('Tabla de Amortizacion'!F137,8),IF('CALCULADORA TIL L-1'!$F$10="14% (Alto)",ROUND('Tabla de Amortizacion'!H137,8),IF('CALCULADORA TIL L-1'!$F$10=20%,ROUND('Tabla de Amortizacion'!J137,8),ROUND('Tabla de Amortizacion'!L137,8))))))</f>
        <v>0</v>
      </c>
    </row>
    <row r="137" spans="1:2" ht="12.75">
      <c r="A137" s="32">
        <f t="shared" si="4"/>
        <v>46404</v>
      </c>
      <c r="B137" s="33">
        <f>IF('CALCULADORA TIL L-1'!$F$10="Contractual",ROUND('Tabla de Amortizacion'!B138,8),IF('CALCULADORA TIL L-1'!$F$10="6% (Medio)",ROUND('Tabla de Amortizacion'!D138,8),IF('CALCULADORA TIL L-1'!$F$10="10% (Medio Alto)",ROUND('Tabla de Amortizacion'!F138,8),IF('CALCULADORA TIL L-1'!$F$10="14% (Alto)",ROUND('Tabla de Amortizacion'!H138,8),IF('CALCULADORA TIL L-1'!$F$10=20%,ROUND('Tabla de Amortizacion'!J138,8),ROUND('Tabla de Amortizacion'!L138,8))))))</f>
        <v>0</v>
      </c>
    </row>
    <row r="138" spans="1:2" ht="12.75">
      <c r="A138" s="32">
        <f t="shared" si="4"/>
        <v>46435</v>
      </c>
      <c r="B138" s="33">
        <f>IF('CALCULADORA TIL L-1'!$F$10="Contractual",ROUND('Tabla de Amortizacion'!B139,8),IF('CALCULADORA TIL L-1'!$F$10="6% (Medio)",ROUND('Tabla de Amortizacion'!D139,8),IF('CALCULADORA TIL L-1'!$F$10="10% (Medio Alto)",ROUND('Tabla de Amortizacion'!F139,8),IF('CALCULADORA TIL L-1'!$F$10="14% (Alto)",ROUND('Tabla de Amortizacion'!H139,8),IF('CALCULADORA TIL L-1'!$F$10=20%,ROUND('Tabla de Amortizacion'!J139,8),ROUND('Tabla de Amortizacion'!L139,8))))))</f>
        <v>0</v>
      </c>
    </row>
    <row r="139" spans="1:2" ht="12.75">
      <c r="A139" s="32">
        <f t="shared" si="4"/>
        <v>46463</v>
      </c>
      <c r="B139" s="33">
        <f>IF('CALCULADORA TIL L-1'!$F$10="Contractual",ROUND('Tabla de Amortizacion'!B140,8),IF('CALCULADORA TIL L-1'!$F$10="6% (Medio)",ROUND('Tabla de Amortizacion'!D140,8),IF('CALCULADORA TIL L-1'!$F$10="10% (Medio Alto)",ROUND('Tabla de Amortizacion'!F140,8),IF('CALCULADORA TIL L-1'!$F$10="14% (Alto)",ROUND('Tabla de Amortizacion'!H140,8),IF('CALCULADORA TIL L-1'!$F$10=20%,ROUND('Tabla de Amortizacion'!J140,8),ROUND('Tabla de Amortizacion'!L140,8))))))</f>
        <v>0</v>
      </c>
    </row>
    <row r="140" spans="1:2" ht="12.75">
      <c r="A140" s="32">
        <f t="shared" si="4"/>
        <v>46494</v>
      </c>
      <c r="B140" s="33">
        <f>IF('CALCULADORA TIL L-1'!$F$10="Contractual",ROUND('Tabla de Amortizacion'!B141,8),IF('CALCULADORA TIL L-1'!$F$10="6% (Medio)",ROUND('Tabla de Amortizacion'!D141,8),IF('CALCULADORA TIL L-1'!$F$10="10% (Medio Alto)",ROUND('Tabla de Amortizacion'!F141,8),IF('CALCULADORA TIL L-1'!$F$10="14% (Alto)",ROUND('Tabla de Amortizacion'!H141,8),IF('CALCULADORA TIL L-1'!$F$10=20%,ROUND('Tabla de Amortizacion'!J141,8),ROUND('Tabla de Amortizacion'!L141,8))))))</f>
        <v>0</v>
      </c>
    </row>
    <row r="141" spans="1:2" ht="12.75">
      <c r="A141" s="32">
        <f t="shared" si="4"/>
        <v>46524</v>
      </c>
      <c r="B141" s="33">
        <f>IF('CALCULADORA TIL L-1'!$F$10="Contractual",ROUND('Tabla de Amortizacion'!B142,8),IF('CALCULADORA TIL L-1'!$F$10="6% (Medio)",ROUND('Tabla de Amortizacion'!D142,8),IF('CALCULADORA TIL L-1'!$F$10="10% (Medio Alto)",ROUND('Tabla de Amortizacion'!F142,8),IF('CALCULADORA TIL L-1'!$F$10="14% (Alto)",ROUND('Tabla de Amortizacion'!H142,8),IF('CALCULADORA TIL L-1'!$F$10=20%,ROUND('Tabla de Amortizacion'!J142,8),ROUND('Tabla de Amortizacion'!L142,8))))))</f>
        <v>0</v>
      </c>
    </row>
    <row r="142" spans="1:2" ht="12.75">
      <c r="A142" s="32">
        <f t="shared" si="4"/>
        <v>46555</v>
      </c>
      <c r="B142" s="33">
        <f>IF('CALCULADORA TIL L-1'!$F$10="Contractual",ROUND('Tabla de Amortizacion'!B143,8),IF('CALCULADORA TIL L-1'!$F$10="6% (Medio)",ROUND('Tabla de Amortizacion'!D143,8),IF('CALCULADORA TIL L-1'!$F$10="10% (Medio Alto)",ROUND('Tabla de Amortizacion'!F143,8),IF('CALCULADORA TIL L-1'!$F$10="14% (Alto)",ROUND('Tabla de Amortizacion'!H143,8),IF('CALCULADORA TIL L-1'!$F$10=20%,ROUND('Tabla de Amortizacion'!J143,8),ROUND('Tabla de Amortizacion'!L143,8))))))</f>
        <v>0</v>
      </c>
    </row>
    <row r="143" spans="1:2" ht="12.75">
      <c r="A143" s="32">
        <f t="shared" si="4"/>
        <v>46585</v>
      </c>
      <c r="B143" s="33">
        <f>IF('CALCULADORA TIL L-1'!$F$10="Contractual",ROUND('Tabla de Amortizacion'!B144,8),IF('CALCULADORA TIL L-1'!$F$10="6% (Medio)",ROUND('Tabla de Amortizacion'!D144,8),IF('CALCULADORA TIL L-1'!$F$10="10% (Medio Alto)",ROUND('Tabla de Amortizacion'!F144,8),IF('CALCULADORA TIL L-1'!$F$10="14% (Alto)",ROUND('Tabla de Amortizacion'!H144,8),IF('CALCULADORA TIL L-1'!$F$10=20%,ROUND('Tabla de Amortizacion'!J144,8),ROUND('Tabla de Amortizacion'!L144,8))))))</f>
        <v>0</v>
      </c>
    </row>
    <row r="144" spans="1:2" ht="12.75">
      <c r="A144" s="32">
        <f t="shared" si="4"/>
        <v>46616</v>
      </c>
      <c r="B144" s="33">
        <f>IF('CALCULADORA TIL L-1'!$F$10="Contractual",ROUND('Tabla de Amortizacion'!B145,8),IF('CALCULADORA TIL L-1'!$F$10="6% (Medio)",ROUND('Tabla de Amortizacion'!D145,8),IF('CALCULADORA TIL L-1'!$F$10="10% (Medio Alto)",ROUND('Tabla de Amortizacion'!F145,8),IF('CALCULADORA TIL L-1'!$F$10="14% (Alto)",ROUND('Tabla de Amortizacion'!H145,8),IF('CALCULADORA TIL L-1'!$F$10=20%,ROUND('Tabla de Amortizacion'!J145,8),ROUND('Tabla de Amortizacion'!L145,8))))))</f>
        <v>0</v>
      </c>
    </row>
    <row r="145" spans="1:2" ht="12.75">
      <c r="A145" s="32">
        <f t="shared" si="4"/>
        <v>46647</v>
      </c>
      <c r="B145" s="33">
        <f>IF('CALCULADORA TIL L-1'!$F$10="Contractual",ROUND('Tabla de Amortizacion'!B146,8),IF('CALCULADORA TIL L-1'!$F$10="6% (Medio)",ROUND('Tabla de Amortizacion'!D146,8),IF('CALCULADORA TIL L-1'!$F$10="10% (Medio Alto)",ROUND('Tabla de Amortizacion'!F146,8),IF('CALCULADORA TIL L-1'!$F$10="14% (Alto)",ROUND('Tabla de Amortizacion'!H146,8),IF('CALCULADORA TIL L-1'!$F$10=20%,ROUND('Tabla de Amortizacion'!J146,8),ROUND('Tabla de Amortizacion'!L146,8))))))</f>
        <v>0</v>
      </c>
    </row>
    <row r="146" spans="1:2" ht="12.75">
      <c r="A146" s="32">
        <f t="shared" si="4"/>
        <v>46677</v>
      </c>
      <c r="B146" s="33">
        <f>IF('CALCULADORA TIL L-1'!$F$10="Contractual",ROUND('Tabla de Amortizacion'!B147,8),IF('CALCULADORA TIL L-1'!$F$10="6% (Medio)",ROUND('Tabla de Amortizacion'!D147,8),IF('CALCULADORA TIL L-1'!$F$10="10% (Medio Alto)",ROUND('Tabla de Amortizacion'!F147,8),IF('CALCULADORA TIL L-1'!$F$10="14% (Alto)",ROUND('Tabla de Amortizacion'!H147,8),IF('CALCULADORA TIL L-1'!$F$10=20%,ROUND('Tabla de Amortizacion'!J147,8),ROUND('Tabla de Amortizacion'!L147,8))))))</f>
        <v>0</v>
      </c>
    </row>
    <row r="147" spans="1:2" ht="12.75">
      <c r="A147" s="32">
        <f t="shared" si="4"/>
        <v>46708</v>
      </c>
      <c r="B147" s="33">
        <f>IF('CALCULADORA TIL L-1'!$F$10="Contractual",ROUND('Tabla de Amortizacion'!B148,8),IF('CALCULADORA TIL L-1'!$F$10="6% (Medio)",ROUND('Tabla de Amortizacion'!D148,8),IF('CALCULADORA TIL L-1'!$F$10="10% (Medio Alto)",ROUND('Tabla de Amortizacion'!F148,8),IF('CALCULADORA TIL L-1'!$F$10="14% (Alto)",ROUND('Tabla de Amortizacion'!H148,8),IF('CALCULADORA TIL L-1'!$F$10=20%,ROUND('Tabla de Amortizacion'!J148,8),ROUND('Tabla de Amortizacion'!L148,8))))))</f>
        <v>0</v>
      </c>
    </row>
    <row r="148" spans="1:2" ht="12.75">
      <c r="A148" s="32">
        <f t="shared" si="4"/>
        <v>46738</v>
      </c>
      <c r="B148" s="33">
        <f>IF('CALCULADORA TIL L-1'!$F$10="Contractual",ROUND('Tabla de Amortizacion'!B149,8),IF('CALCULADORA TIL L-1'!$F$10="6% (Medio)",ROUND('Tabla de Amortizacion'!D149,8),IF('CALCULADORA TIL L-1'!$F$10="10% (Medio Alto)",ROUND('Tabla de Amortizacion'!F149,8),IF('CALCULADORA TIL L-1'!$F$10="14% (Alto)",ROUND('Tabla de Amortizacion'!H149,8),IF('CALCULADORA TIL L-1'!$F$10=20%,ROUND('Tabla de Amortizacion'!J149,8),ROUND('Tabla de Amortizacion'!L149,8))))))</f>
        <v>0</v>
      </c>
    </row>
    <row r="149" spans="1:2" ht="12.75">
      <c r="A149" s="32">
        <f t="shared" si="4"/>
        <v>46769</v>
      </c>
      <c r="B149" s="33">
        <f>IF('CALCULADORA TIL L-1'!$F$10="Contractual",ROUND('Tabla de Amortizacion'!B150,8),IF('CALCULADORA TIL L-1'!$F$10="6% (Medio)",ROUND('Tabla de Amortizacion'!D150,8),IF('CALCULADORA TIL L-1'!$F$10="10% (Medio Alto)",ROUND('Tabla de Amortizacion'!F150,8),IF('CALCULADORA TIL L-1'!$F$10="14% (Alto)",ROUND('Tabla de Amortizacion'!H150,8),IF('CALCULADORA TIL L-1'!$F$10=20%,ROUND('Tabla de Amortizacion'!J150,8),ROUND('Tabla de Amortizacion'!L150,8))))))</f>
        <v>0</v>
      </c>
    </row>
    <row r="150" spans="1:2" ht="12.75">
      <c r="A150" s="32">
        <f t="shared" si="4"/>
        <v>46800</v>
      </c>
      <c r="B150" s="33">
        <f>IF('CALCULADORA TIL L-1'!$F$10="Contractual",ROUND('Tabla de Amortizacion'!B151,8),IF('CALCULADORA TIL L-1'!$F$10="6% (Medio)",ROUND('Tabla de Amortizacion'!D151,8),IF('CALCULADORA TIL L-1'!$F$10="10% (Medio Alto)",ROUND('Tabla de Amortizacion'!F151,8),IF('CALCULADORA TIL L-1'!$F$10="14% (Alto)",ROUND('Tabla de Amortizacion'!H151,8),IF('CALCULADORA TIL L-1'!$F$10=20%,ROUND('Tabla de Amortizacion'!J151,8),ROUND('Tabla de Amortizacion'!L151,8))))))</f>
        <v>0</v>
      </c>
    </row>
    <row r="151" spans="1:2" ht="12.75">
      <c r="A151" s="32">
        <f t="shared" si="4"/>
        <v>46829</v>
      </c>
      <c r="B151" s="33">
        <f>IF('CALCULADORA TIL L-1'!$F$10="Contractual",ROUND('Tabla de Amortizacion'!B152,8),IF('CALCULADORA TIL L-1'!$F$10="6% (Medio)",ROUND('Tabla de Amortizacion'!D152,8),IF('CALCULADORA TIL L-1'!$F$10="10% (Medio Alto)",ROUND('Tabla de Amortizacion'!F152,8),IF('CALCULADORA TIL L-1'!$F$10="14% (Alto)",ROUND('Tabla de Amortizacion'!H152,8),IF('CALCULADORA TIL L-1'!$F$10=20%,ROUND('Tabla de Amortizacion'!J152,8),ROUND('Tabla de Amortizacion'!L152,8))))))</f>
        <v>0</v>
      </c>
    </row>
    <row r="152" spans="1:2" ht="12.75">
      <c r="A152" s="32">
        <f t="shared" si="4"/>
        <v>46860</v>
      </c>
      <c r="B152" s="33">
        <f>IF('CALCULADORA TIL L-1'!$F$10="Contractual",ROUND('Tabla de Amortizacion'!B153,8),IF('CALCULADORA TIL L-1'!$F$10="6% (Medio)",ROUND('Tabla de Amortizacion'!D153,8),IF('CALCULADORA TIL L-1'!$F$10="10% (Medio Alto)",ROUND('Tabla de Amortizacion'!F153,8),IF('CALCULADORA TIL L-1'!$F$10="14% (Alto)",ROUND('Tabla de Amortizacion'!H153,8),IF('CALCULADORA TIL L-1'!$F$10=20%,ROUND('Tabla de Amortizacion'!J153,8),ROUND('Tabla de Amortizacion'!L153,8))))))</f>
        <v>0</v>
      </c>
    </row>
    <row r="153" spans="1:2" ht="12.75">
      <c r="A153" s="32">
        <f t="shared" si="4"/>
        <v>46890</v>
      </c>
      <c r="B153" s="33">
        <f>IF('CALCULADORA TIL L-1'!$F$10="Contractual",ROUND('Tabla de Amortizacion'!B154,8),IF('CALCULADORA TIL L-1'!$F$10="6% (Medio)",ROUND('Tabla de Amortizacion'!D154,8),IF('CALCULADORA TIL L-1'!$F$10="10% (Medio Alto)",ROUND('Tabla de Amortizacion'!F154,8),IF('CALCULADORA TIL L-1'!$F$10="14% (Alto)",ROUND('Tabla de Amortizacion'!H154,8),IF('CALCULADORA TIL L-1'!$F$10=20%,ROUND('Tabla de Amortizacion'!J154,8),ROUND('Tabla de Amortizacion'!L154,8))))))</f>
        <v>0</v>
      </c>
    </row>
    <row r="154" spans="1:2" ht="12.75">
      <c r="A154" s="32">
        <f t="shared" si="4"/>
        <v>46921</v>
      </c>
      <c r="B154" s="33">
        <f>IF('CALCULADORA TIL L-1'!$F$10="Contractual",ROUND('Tabla de Amortizacion'!B155,8),IF('CALCULADORA TIL L-1'!$F$10="6% (Medio)",ROUND('Tabla de Amortizacion'!D155,8),IF('CALCULADORA TIL L-1'!$F$10="10% (Medio Alto)",ROUND('Tabla de Amortizacion'!F155,8),IF('CALCULADORA TIL L-1'!$F$10="14% (Alto)",ROUND('Tabla de Amortizacion'!H155,8),IF('CALCULADORA TIL L-1'!$F$10=20%,ROUND('Tabla de Amortizacion'!J155,8),ROUND('Tabla de Amortizacion'!L155,8))))))</f>
        <v>0</v>
      </c>
    </row>
    <row r="155" spans="1:2" ht="12.75">
      <c r="A155" s="32">
        <f t="shared" si="4"/>
        <v>46951</v>
      </c>
      <c r="B155" s="33">
        <f>IF('CALCULADORA TIL L-1'!$F$10="Contractual",ROUND('Tabla de Amortizacion'!B156,8),IF('CALCULADORA TIL L-1'!$F$10="6% (Medio)",ROUND('Tabla de Amortizacion'!D156,8),IF('CALCULADORA TIL L-1'!$F$10="10% (Medio Alto)",ROUND('Tabla de Amortizacion'!F156,8),IF('CALCULADORA TIL L-1'!$F$10="14% (Alto)",ROUND('Tabla de Amortizacion'!H156,8),IF('CALCULADORA TIL L-1'!$F$10=20%,ROUND('Tabla de Amortizacion'!J156,8),ROUND('Tabla de Amortizacion'!L156,8))))))</f>
        <v>0</v>
      </c>
    </row>
    <row r="156" spans="1:2" ht="12.75">
      <c r="A156" s="32">
        <f t="shared" si="4"/>
        <v>46982</v>
      </c>
      <c r="B156" s="33">
        <f>IF('CALCULADORA TIL L-1'!$F$10="Contractual",ROUND('Tabla de Amortizacion'!B157,8),IF('CALCULADORA TIL L-1'!$F$10="6% (Medio)",ROUND('Tabla de Amortizacion'!D157,8),IF('CALCULADORA TIL L-1'!$F$10="10% (Medio Alto)",ROUND('Tabla de Amortizacion'!F157,8),IF('CALCULADORA TIL L-1'!$F$10="14% (Alto)",ROUND('Tabla de Amortizacion'!H157,8),IF('CALCULADORA TIL L-1'!$F$10=20%,ROUND('Tabla de Amortizacion'!J157,8),ROUND('Tabla de Amortizacion'!L157,8))))))</f>
        <v>0</v>
      </c>
    </row>
    <row r="157" spans="1:2" ht="12.75">
      <c r="A157" s="32">
        <f t="shared" si="4"/>
        <v>47013</v>
      </c>
      <c r="B157" s="33">
        <f>IF('CALCULADORA TIL L-1'!$F$10="Contractual",ROUND('Tabla de Amortizacion'!B158,8),IF('CALCULADORA TIL L-1'!$F$10="6% (Medio)",ROUND('Tabla de Amortizacion'!D158,8),IF('CALCULADORA TIL L-1'!$F$10="10% (Medio Alto)",ROUND('Tabla de Amortizacion'!F158,8),IF('CALCULADORA TIL L-1'!$F$10="14% (Alto)",ROUND('Tabla de Amortizacion'!H158,8),IF('CALCULADORA TIL L-1'!$F$10=20%,ROUND('Tabla de Amortizacion'!J158,8),ROUND('Tabla de Amortizacion'!L158,8))))))</f>
        <v>0</v>
      </c>
    </row>
    <row r="158" spans="1:2" ht="12.75">
      <c r="A158" s="32">
        <f t="shared" si="4"/>
        <v>47043</v>
      </c>
      <c r="B158" s="33">
        <f>IF('CALCULADORA TIL L-1'!$F$10="Contractual",ROUND('Tabla de Amortizacion'!B159,8),IF('CALCULADORA TIL L-1'!$F$10="6% (Medio)",ROUND('Tabla de Amortizacion'!D159,8),IF('CALCULADORA TIL L-1'!$F$10="10% (Medio Alto)",ROUND('Tabla de Amortizacion'!F159,8),IF('CALCULADORA TIL L-1'!$F$10="14% (Alto)",ROUND('Tabla de Amortizacion'!H159,8),IF('CALCULADORA TIL L-1'!$F$10=20%,ROUND('Tabla de Amortizacion'!J159,8),ROUND('Tabla de Amortizacion'!L159,8))))))</f>
        <v>0</v>
      </c>
    </row>
    <row r="159" spans="1:2" ht="12.75">
      <c r="A159" s="32">
        <f t="shared" si="4"/>
        <v>47074</v>
      </c>
      <c r="B159" s="33">
        <f>IF('CALCULADORA TIL L-1'!$F$10="Contractual",ROUND('Tabla de Amortizacion'!B160,8),IF('CALCULADORA TIL L-1'!$F$10="6% (Medio)",ROUND('Tabla de Amortizacion'!D160,8),IF('CALCULADORA TIL L-1'!$F$10="10% (Medio Alto)",ROUND('Tabla de Amortizacion'!F160,8),IF('CALCULADORA TIL L-1'!$F$10="14% (Alto)",ROUND('Tabla de Amortizacion'!H160,8),IF('CALCULADORA TIL L-1'!$F$10=20%,ROUND('Tabla de Amortizacion'!J160,8),ROUND('Tabla de Amortizacion'!L160,8))))))</f>
        <v>0</v>
      </c>
    </row>
    <row r="160" spans="1:2" ht="12.75">
      <c r="A160" s="32">
        <f t="shared" si="4"/>
        <v>47104</v>
      </c>
      <c r="B160" s="33">
        <f>IF('CALCULADORA TIL L-1'!$F$10="Contractual",ROUND('Tabla de Amortizacion'!B161,8),IF('CALCULADORA TIL L-1'!$F$10="6% (Medio)",ROUND('Tabla de Amortizacion'!D161,8),IF('CALCULADORA TIL L-1'!$F$10="10% (Medio Alto)",ROUND('Tabla de Amortizacion'!F161,8),IF('CALCULADORA TIL L-1'!$F$10="14% (Alto)",ROUND('Tabla de Amortizacion'!H161,8),IF('CALCULADORA TIL L-1'!$F$10=20%,ROUND('Tabla de Amortizacion'!J161,8),ROUND('Tabla de Amortizacion'!L161,8))))))</f>
        <v>0</v>
      </c>
    </row>
    <row r="161" spans="1:2" ht="12.75">
      <c r="A161" s="32">
        <f t="shared" si="4"/>
        <v>47135</v>
      </c>
      <c r="B161" s="33">
        <f>IF('CALCULADORA TIL L-1'!$F$10="Contractual",ROUND('Tabla de Amortizacion'!B162,8),IF('CALCULADORA TIL L-1'!$F$10="6% (Medio)",ROUND('Tabla de Amortizacion'!D162,8),IF('CALCULADORA TIL L-1'!$F$10="10% (Medio Alto)",ROUND('Tabla de Amortizacion'!F162,8),IF('CALCULADORA TIL L-1'!$F$10="14% (Alto)",ROUND('Tabla de Amortizacion'!H162,8),IF('CALCULADORA TIL L-1'!$F$10=20%,ROUND('Tabla de Amortizacion'!J162,8),ROUND('Tabla de Amortizacion'!L162,8))))))</f>
        <v>0</v>
      </c>
    </row>
    <row r="162" spans="1:2" ht="12.75">
      <c r="A162" s="32">
        <f t="shared" si="4"/>
        <v>47166</v>
      </c>
      <c r="B162" s="33">
        <f>IF('CALCULADORA TIL L-1'!$F$10="Contractual",ROUND('Tabla de Amortizacion'!B163,8),IF('CALCULADORA TIL L-1'!$F$10="6% (Medio)",ROUND('Tabla de Amortizacion'!D163,8),IF('CALCULADORA TIL L-1'!$F$10="10% (Medio Alto)",ROUND('Tabla de Amortizacion'!F163,8),IF('CALCULADORA TIL L-1'!$F$10="14% (Alto)",ROUND('Tabla de Amortizacion'!H163,8),IF('CALCULADORA TIL L-1'!$F$10=20%,ROUND('Tabla de Amortizacion'!J163,8),ROUND('Tabla de Amortizacion'!L163,8))))))</f>
        <v>0</v>
      </c>
    </row>
    <row r="163" spans="1:2" ht="12.75">
      <c r="A163" s="32">
        <f aca="true" t="shared" si="5" ref="A163:A181">_XLL.FECHA.MES(A162,1)</f>
        <v>47194</v>
      </c>
      <c r="B163" s="33">
        <f>IF('CALCULADORA TIL L-1'!$F$10="Contractual",ROUND('Tabla de Amortizacion'!B164,8),IF('CALCULADORA TIL L-1'!$F$10="6% (Medio)",ROUND('Tabla de Amortizacion'!D164,8),IF('CALCULADORA TIL L-1'!$F$10="10% (Medio Alto)",ROUND('Tabla de Amortizacion'!F164,8),IF('CALCULADORA TIL L-1'!$F$10="14% (Alto)",ROUND('Tabla de Amortizacion'!H164,8),IF('CALCULADORA TIL L-1'!$F$10=20%,ROUND('Tabla de Amortizacion'!J164,8),ROUND('Tabla de Amortizacion'!L164,8))))))</f>
        <v>0</v>
      </c>
    </row>
    <row r="164" spans="1:2" ht="12.75">
      <c r="A164" s="32">
        <f t="shared" si="5"/>
        <v>47225</v>
      </c>
      <c r="B164" s="33">
        <f>IF('CALCULADORA TIL L-1'!$F$10="Contractual",ROUND('Tabla de Amortizacion'!B165,8),IF('CALCULADORA TIL L-1'!$F$10="6% (Medio)",ROUND('Tabla de Amortizacion'!D165,8),IF('CALCULADORA TIL L-1'!$F$10="10% (Medio Alto)",ROUND('Tabla de Amortizacion'!F165,8),IF('CALCULADORA TIL L-1'!$F$10="14% (Alto)",ROUND('Tabla de Amortizacion'!H165,8),IF('CALCULADORA TIL L-1'!$F$10=20%,ROUND('Tabla de Amortizacion'!J165,8),ROUND('Tabla de Amortizacion'!L165,8))))))</f>
        <v>0</v>
      </c>
    </row>
    <row r="165" spans="1:2" ht="12.75">
      <c r="A165" s="32">
        <f t="shared" si="5"/>
        <v>47255</v>
      </c>
      <c r="B165" s="33">
        <f>IF('CALCULADORA TIL L-1'!$F$10="Contractual",ROUND('Tabla de Amortizacion'!B166,8),IF('CALCULADORA TIL L-1'!$F$10="6% (Medio)",ROUND('Tabla de Amortizacion'!D166,8),IF('CALCULADORA TIL L-1'!$F$10="10% (Medio Alto)",ROUND('Tabla de Amortizacion'!F166,8),IF('CALCULADORA TIL L-1'!$F$10="14% (Alto)",ROUND('Tabla de Amortizacion'!H166,8),IF('CALCULADORA TIL L-1'!$F$10=20%,ROUND('Tabla de Amortizacion'!J166,8),ROUND('Tabla de Amortizacion'!L166,8))))))</f>
        <v>0</v>
      </c>
    </row>
    <row r="166" spans="1:2" ht="12.75">
      <c r="A166" s="32">
        <f t="shared" si="5"/>
        <v>47286</v>
      </c>
      <c r="B166" s="33">
        <f>IF('CALCULADORA TIL L-1'!$F$10="Contractual",ROUND('Tabla de Amortizacion'!B167,8),IF('CALCULADORA TIL L-1'!$F$10="6% (Medio)",ROUND('Tabla de Amortizacion'!D167,8),IF('CALCULADORA TIL L-1'!$F$10="10% (Medio Alto)",ROUND('Tabla de Amortizacion'!F167,8),IF('CALCULADORA TIL L-1'!$F$10="14% (Alto)",ROUND('Tabla de Amortizacion'!H167,8),IF('CALCULADORA TIL L-1'!$F$10=20%,ROUND('Tabla de Amortizacion'!J167,8),ROUND('Tabla de Amortizacion'!L167,8))))))</f>
        <v>0</v>
      </c>
    </row>
    <row r="167" spans="1:2" ht="12.75">
      <c r="A167" s="32">
        <f t="shared" si="5"/>
        <v>47316</v>
      </c>
      <c r="B167" s="33">
        <f>IF('CALCULADORA TIL L-1'!$F$10="Contractual",ROUND('Tabla de Amortizacion'!B168,8),IF('CALCULADORA TIL L-1'!$F$10="6% (Medio)",ROUND('Tabla de Amortizacion'!D168,8),IF('CALCULADORA TIL L-1'!$F$10="10% (Medio Alto)",ROUND('Tabla de Amortizacion'!F168,8),IF('CALCULADORA TIL L-1'!$F$10="14% (Alto)",ROUND('Tabla de Amortizacion'!H168,8),IF('CALCULADORA TIL L-1'!$F$10=20%,ROUND('Tabla de Amortizacion'!J168,8),ROUND('Tabla de Amortizacion'!L168,8))))))</f>
        <v>0</v>
      </c>
    </row>
    <row r="168" spans="1:2" ht="12.75">
      <c r="A168" s="32">
        <f t="shared" si="5"/>
        <v>47347</v>
      </c>
      <c r="B168" s="33">
        <f>IF('CALCULADORA TIL L-1'!$F$10="Contractual",ROUND('Tabla de Amortizacion'!B169,8),IF('CALCULADORA TIL L-1'!$F$10="6% (Medio)",ROUND('Tabla de Amortizacion'!D169,8),IF('CALCULADORA TIL L-1'!$F$10="10% (Medio Alto)",ROUND('Tabla de Amortizacion'!F169,8),IF('CALCULADORA TIL L-1'!$F$10="14% (Alto)",ROUND('Tabla de Amortizacion'!H169,8),IF('CALCULADORA TIL L-1'!$F$10=20%,ROUND('Tabla de Amortizacion'!J169,8),ROUND('Tabla de Amortizacion'!L169,8))))))</f>
        <v>0</v>
      </c>
    </row>
    <row r="169" spans="1:2" ht="12.75">
      <c r="A169" s="32">
        <f t="shared" si="5"/>
        <v>47378</v>
      </c>
      <c r="B169" s="33">
        <f>IF('CALCULADORA TIL L-1'!$F$10="Contractual",ROUND('Tabla de Amortizacion'!B170,8),IF('CALCULADORA TIL L-1'!$F$10="6% (Medio)",ROUND('Tabla de Amortizacion'!D170,8),IF('CALCULADORA TIL L-1'!$F$10="10% (Medio Alto)",ROUND('Tabla de Amortizacion'!F170,8),IF('CALCULADORA TIL L-1'!$F$10="14% (Alto)",ROUND('Tabla de Amortizacion'!H170,8),IF('CALCULADORA TIL L-1'!$F$10=20%,ROUND('Tabla de Amortizacion'!J170,8),ROUND('Tabla de Amortizacion'!L170,8))))))</f>
        <v>0</v>
      </c>
    </row>
    <row r="170" spans="1:2" ht="12.75">
      <c r="A170" s="32">
        <f t="shared" si="5"/>
        <v>47408</v>
      </c>
      <c r="B170" s="33">
        <f>IF('CALCULADORA TIL L-1'!$F$10="Contractual",ROUND('Tabla de Amortizacion'!B171,8),IF('CALCULADORA TIL L-1'!$F$10="6% (Medio)",ROUND('Tabla de Amortizacion'!D171,8),IF('CALCULADORA TIL L-1'!$F$10="10% (Medio Alto)",ROUND('Tabla de Amortizacion'!F171,8),IF('CALCULADORA TIL L-1'!$F$10="14% (Alto)",ROUND('Tabla de Amortizacion'!H171,8),IF('CALCULADORA TIL L-1'!$F$10=20%,ROUND('Tabla de Amortizacion'!J171,8),ROUND('Tabla de Amortizacion'!L171,8))))))</f>
        <v>0</v>
      </c>
    </row>
    <row r="171" spans="1:2" ht="12.75">
      <c r="A171" s="32">
        <f t="shared" si="5"/>
        <v>47439</v>
      </c>
      <c r="B171" s="33">
        <f>IF('CALCULADORA TIL L-1'!$F$10="Contractual",ROUND('Tabla de Amortizacion'!B172,8),IF('CALCULADORA TIL L-1'!$F$10="6% (Medio)",ROUND('Tabla de Amortizacion'!D172,8),IF('CALCULADORA TIL L-1'!$F$10="10% (Medio Alto)",ROUND('Tabla de Amortizacion'!F172,8),IF('CALCULADORA TIL L-1'!$F$10="14% (Alto)",ROUND('Tabla de Amortizacion'!H172,8),IF('CALCULADORA TIL L-1'!$F$10=20%,ROUND('Tabla de Amortizacion'!J172,8),ROUND('Tabla de Amortizacion'!L172,8))))))</f>
        <v>0</v>
      </c>
    </row>
    <row r="172" spans="1:2" ht="12.75">
      <c r="A172" s="32">
        <f t="shared" si="5"/>
        <v>47469</v>
      </c>
      <c r="B172" s="33">
        <f>IF('CALCULADORA TIL L-1'!$F$10="Contractual",ROUND('Tabla de Amortizacion'!B173,8),IF('CALCULADORA TIL L-1'!$F$10="6% (Medio)",ROUND('Tabla de Amortizacion'!D173,8),IF('CALCULADORA TIL L-1'!$F$10="10% (Medio Alto)",ROUND('Tabla de Amortizacion'!F173,8),IF('CALCULADORA TIL L-1'!$F$10="14% (Alto)",ROUND('Tabla de Amortizacion'!H173,8),IF('CALCULADORA TIL L-1'!$F$10=20%,ROUND('Tabla de Amortizacion'!J173,8),ROUND('Tabla de Amortizacion'!L173,8))))))</f>
        <v>0</v>
      </c>
    </row>
    <row r="173" spans="1:2" ht="12.75">
      <c r="A173" s="32">
        <f t="shared" si="5"/>
        <v>47500</v>
      </c>
      <c r="B173" s="33">
        <f>IF('CALCULADORA TIL L-1'!$F$10="Contractual",ROUND('Tabla de Amortizacion'!B174,8),IF('CALCULADORA TIL L-1'!$F$10="6% (Medio)",ROUND('Tabla de Amortizacion'!D174,8),IF('CALCULADORA TIL L-1'!$F$10="10% (Medio Alto)",ROUND('Tabla de Amortizacion'!F174,8),IF('CALCULADORA TIL L-1'!$F$10="14% (Alto)",ROUND('Tabla de Amortizacion'!H174,8),IF('CALCULADORA TIL L-1'!$F$10=20%,ROUND('Tabla de Amortizacion'!J174,8),ROUND('Tabla de Amortizacion'!L174,8))))))</f>
        <v>0</v>
      </c>
    </row>
    <row r="174" spans="1:2" ht="12.75">
      <c r="A174" s="32">
        <f t="shared" si="5"/>
        <v>47531</v>
      </c>
      <c r="B174" s="33">
        <f>IF('CALCULADORA TIL L-1'!$F$10="Contractual",ROUND('Tabla de Amortizacion'!B175,8),IF('CALCULADORA TIL L-1'!$F$10="6% (Medio)",ROUND('Tabla de Amortizacion'!D175,8),IF('CALCULADORA TIL L-1'!$F$10="10% (Medio Alto)",ROUND('Tabla de Amortizacion'!F175,8),IF('CALCULADORA TIL L-1'!$F$10="14% (Alto)",ROUND('Tabla de Amortizacion'!H175,8),IF('CALCULADORA TIL L-1'!$F$10=20%,ROUND('Tabla de Amortizacion'!J175,8),ROUND('Tabla de Amortizacion'!L175,8))))))</f>
        <v>0</v>
      </c>
    </row>
    <row r="175" spans="1:2" ht="12.75">
      <c r="A175" s="32">
        <f t="shared" si="5"/>
        <v>47559</v>
      </c>
      <c r="B175" s="33">
        <f>IF('CALCULADORA TIL L-1'!$F$10="Contractual",ROUND('Tabla de Amortizacion'!B176,8),IF('CALCULADORA TIL L-1'!$F$10="6% (Medio)",ROUND('Tabla de Amortizacion'!D176,8),IF('CALCULADORA TIL L-1'!$F$10="10% (Medio Alto)",ROUND('Tabla de Amortizacion'!F176,8),IF('CALCULADORA TIL L-1'!$F$10="14% (Alto)",ROUND('Tabla de Amortizacion'!H176,8),IF('CALCULADORA TIL L-1'!$F$10=20%,ROUND('Tabla de Amortizacion'!J176,8),ROUND('Tabla de Amortizacion'!L176,8))))))</f>
        <v>0</v>
      </c>
    </row>
    <row r="176" spans="1:2" ht="12.75">
      <c r="A176" s="32">
        <f t="shared" si="5"/>
        <v>47590</v>
      </c>
      <c r="B176" s="33">
        <f>IF('CALCULADORA TIL L-1'!$F$10="Contractual",ROUND('Tabla de Amortizacion'!B177,8),IF('CALCULADORA TIL L-1'!$F$10="6% (Medio)",ROUND('Tabla de Amortizacion'!D177,8),IF('CALCULADORA TIL L-1'!$F$10="10% (Medio Alto)",ROUND('Tabla de Amortizacion'!F177,8),IF('CALCULADORA TIL L-1'!$F$10="14% (Alto)",ROUND('Tabla de Amortizacion'!H177,8),IF('CALCULADORA TIL L-1'!$F$10=20%,ROUND('Tabla de Amortizacion'!J177,8),ROUND('Tabla de Amortizacion'!L177,8))))))</f>
        <v>0</v>
      </c>
    </row>
    <row r="177" spans="1:2" ht="12.75">
      <c r="A177" s="32">
        <f t="shared" si="5"/>
        <v>47620</v>
      </c>
      <c r="B177" s="33">
        <f>IF('CALCULADORA TIL L-1'!$F$10="Contractual",ROUND('Tabla de Amortizacion'!B178,8),IF('CALCULADORA TIL L-1'!$F$10="6% (Medio)",ROUND('Tabla de Amortizacion'!D178,8),IF('CALCULADORA TIL L-1'!$F$10="10% (Medio Alto)",ROUND('Tabla de Amortizacion'!F178,8),IF('CALCULADORA TIL L-1'!$F$10="14% (Alto)",ROUND('Tabla de Amortizacion'!H178,8),IF('CALCULADORA TIL L-1'!$F$10=20%,ROUND('Tabla de Amortizacion'!J178,8),ROUND('Tabla de Amortizacion'!L178,8))))))</f>
        <v>0</v>
      </c>
    </row>
    <row r="178" spans="1:2" ht="12.75">
      <c r="A178" s="32">
        <f t="shared" si="5"/>
        <v>47651</v>
      </c>
      <c r="B178" s="33">
        <f>IF('CALCULADORA TIL L-1'!$F$10="Contractual",ROUND('Tabla de Amortizacion'!B179,8),IF('CALCULADORA TIL L-1'!$F$10="6% (Medio)",ROUND('Tabla de Amortizacion'!D179,8),IF('CALCULADORA TIL L-1'!$F$10="10% (Medio Alto)",ROUND('Tabla de Amortizacion'!F179,8),IF('CALCULADORA TIL L-1'!$F$10="14% (Alto)",ROUND('Tabla de Amortizacion'!H179,8),IF('CALCULADORA TIL L-1'!$F$10=20%,ROUND('Tabla de Amortizacion'!J179,8),ROUND('Tabla de Amortizacion'!L179,8))))))</f>
        <v>0</v>
      </c>
    </row>
    <row r="179" spans="1:2" ht="12.75">
      <c r="A179" s="32">
        <f t="shared" si="5"/>
        <v>47681</v>
      </c>
      <c r="B179" s="33">
        <f>IF('CALCULADORA TIL L-1'!$F$10="Contractual",ROUND('Tabla de Amortizacion'!B180,8),IF('CALCULADORA TIL L-1'!$F$10="6% (Medio)",ROUND('Tabla de Amortizacion'!D180,8),IF('CALCULADORA TIL L-1'!$F$10="10% (Medio Alto)",ROUND('Tabla de Amortizacion'!F180,8),IF('CALCULADORA TIL L-1'!$F$10="14% (Alto)",ROUND('Tabla de Amortizacion'!H180,8),IF('CALCULADORA TIL L-1'!$F$10=20%,ROUND('Tabla de Amortizacion'!J180,8),ROUND('Tabla de Amortizacion'!L180,8))))))</f>
        <v>0</v>
      </c>
    </row>
    <row r="180" spans="1:2" ht="12.75">
      <c r="A180" s="32">
        <f t="shared" si="5"/>
        <v>47712</v>
      </c>
      <c r="B180" s="33">
        <f>IF('CALCULADORA TIL L-1'!$F$10="Contractual",ROUND('Tabla de Amortizacion'!B181,8),IF('CALCULADORA TIL L-1'!$F$10="6% (Medio)",ROUND('Tabla de Amortizacion'!D181,8),IF('CALCULADORA TIL L-1'!$F$10="10% (Medio Alto)",ROUND('Tabla de Amortizacion'!F181,8),IF('CALCULADORA TIL L-1'!$F$10="14% (Alto)",ROUND('Tabla de Amortizacion'!H181,8),IF('CALCULADORA TIL L-1'!$F$10=20%,ROUND('Tabla de Amortizacion'!J181,8),ROUND('Tabla de Amortizacion'!L181,8))))))</f>
        <v>0</v>
      </c>
    </row>
    <row r="181" spans="1:2" ht="13.5" thickBot="1">
      <c r="A181" s="34">
        <f t="shared" si="5"/>
        <v>47743</v>
      </c>
      <c r="B181" s="33">
        <f>IF('CALCULADORA TIL L-1'!$F$10="Contractual",ROUND('Tabla de Amortizacion'!B182,8),IF('CALCULADORA TIL L-1'!$F$10="6% (Medio)",ROUND('Tabla de Amortizacion'!D182,8),IF('CALCULADORA TIL L-1'!$F$10="10% (Medio Alto)",ROUND('Tabla de Amortizacion'!F182,8),IF('CALCULADORA TIL L-1'!$F$10="14% (Alto)",ROUND('Tabla de Amortizacion'!H182,8),IF('CALCULADORA TIL L-1'!$F$10=20%,ROUND('Tabla de Amortizacion'!J182,8),ROUND('Tabla de Amortizacion'!L182,8))))))</f>
        <v>0</v>
      </c>
    </row>
  </sheetData>
  <sheetProtection password="C539" sheet="1"/>
  <printOptions/>
  <pageMargins left="0.75" right="0.75" top="1" bottom="1" header="0" footer="0"/>
  <pageSetup orientation="portrait" paperSize="9"/>
</worksheet>
</file>

<file path=xl/worksheets/sheet5.xml><?xml version="1.0" encoding="utf-8"?>
<worksheet xmlns="http://schemas.openxmlformats.org/spreadsheetml/2006/main" xmlns:r="http://schemas.openxmlformats.org/officeDocument/2006/relationships">
  <sheetPr codeName="Hoja3"/>
  <dimension ref="A1:AJ187"/>
  <sheetViews>
    <sheetView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B19" sqref="B19"/>
    </sheetView>
  </sheetViews>
  <sheetFormatPr defaultColWidth="11.421875" defaultRowHeight="12.75"/>
  <cols>
    <col min="1" max="1" width="10.140625" style="96" bestFit="1" customWidth="1"/>
    <col min="2" max="2" width="33.8515625" style="96" bestFit="1" customWidth="1"/>
    <col min="3" max="3" width="3.421875" style="96" customWidth="1"/>
    <col min="4" max="4" width="30.28125" style="96" bestFit="1" customWidth="1"/>
    <col min="5" max="5" width="3.421875" style="96" customWidth="1"/>
    <col min="6" max="6" width="35.28125" style="96" bestFit="1" customWidth="1"/>
    <col min="7" max="7" width="3.421875" style="96" customWidth="1"/>
    <col min="8" max="8" width="29.57421875" style="96" bestFit="1" customWidth="1"/>
    <col min="9" max="9" width="3.421875" style="96" customWidth="1"/>
    <col min="10" max="10" width="24.421875" style="96" bestFit="1" customWidth="1"/>
    <col min="11" max="11" width="3.421875" style="96" customWidth="1"/>
    <col min="12" max="12" width="29.140625" style="96" bestFit="1" customWidth="1"/>
    <col min="13" max="13" width="11.421875" style="96" customWidth="1"/>
    <col min="14" max="14" width="0" style="96" hidden="1" customWidth="1"/>
    <col min="15" max="16384" width="11.421875" style="96" customWidth="1"/>
  </cols>
  <sheetData>
    <row r="1" spans="1:12" s="94" customFormat="1" ht="13.5" thickBot="1">
      <c r="A1" s="210" t="s">
        <v>0</v>
      </c>
      <c r="B1" s="93" t="s">
        <v>41</v>
      </c>
      <c r="D1" s="93" t="s">
        <v>42</v>
      </c>
      <c r="F1" s="93" t="s">
        <v>43</v>
      </c>
      <c r="H1" s="93" t="s">
        <v>44</v>
      </c>
      <c r="J1" s="93" t="s">
        <v>45</v>
      </c>
      <c r="L1" s="93" t="s">
        <v>1</v>
      </c>
    </row>
    <row r="2" spans="1:12" ht="13.5" thickBot="1">
      <c r="A2" s="211"/>
      <c r="B2" s="95" t="str">
        <f>+Características!$B$1</f>
        <v>TIL Pesos L-1 A 2019</v>
      </c>
      <c r="D2" s="95" t="str">
        <f>+Características!$B$1</f>
        <v>TIL Pesos L-1 A 2019</v>
      </c>
      <c r="F2" s="95" t="str">
        <f>+Características!$B$1</f>
        <v>TIL Pesos L-1 A 2019</v>
      </c>
      <c r="H2" s="95" t="str">
        <f>+Características!$B$1</f>
        <v>TIL Pesos L-1 A 2019</v>
      </c>
      <c r="J2" s="95" t="str">
        <f>+Características!$B$1</f>
        <v>TIL Pesos L-1 A 2019</v>
      </c>
      <c r="L2" s="95" t="str">
        <f>+Características!$B$1</f>
        <v>TIL Pesos L-1 A 2019</v>
      </c>
    </row>
    <row r="3" spans="1:14" s="65" customFormat="1" ht="12.75">
      <c r="A3" s="63">
        <v>42294</v>
      </c>
      <c r="B3" s="64">
        <v>0.01</v>
      </c>
      <c r="C3" s="101"/>
      <c r="D3" s="64">
        <v>0.01</v>
      </c>
      <c r="F3" s="64">
        <v>0.01</v>
      </c>
      <c r="H3" s="64">
        <v>0.01</v>
      </c>
      <c r="J3" s="64">
        <v>0.01</v>
      </c>
      <c r="L3" s="120">
        <v>0.01</v>
      </c>
      <c r="N3" s="65">
        <v>0.01</v>
      </c>
    </row>
    <row r="4" spans="1:14" s="65" customFormat="1" ht="12.75">
      <c r="A4" s="63">
        <v>42325</v>
      </c>
      <c r="B4" s="64">
        <v>0.01</v>
      </c>
      <c r="D4" s="64">
        <v>0.01</v>
      </c>
      <c r="F4" s="64">
        <v>0.01</v>
      </c>
      <c r="H4" s="64">
        <v>0.01</v>
      </c>
      <c r="J4" s="64">
        <v>0.01</v>
      </c>
      <c r="L4" s="120">
        <v>0.01</v>
      </c>
      <c r="N4" s="65">
        <v>0.01</v>
      </c>
    </row>
    <row r="5" spans="1:14" s="1" customFormat="1" ht="12.75">
      <c r="A5" s="105">
        <v>42355</v>
      </c>
      <c r="B5" s="106">
        <v>0.01</v>
      </c>
      <c r="D5" s="106">
        <v>0.01</v>
      </c>
      <c r="F5" s="106">
        <v>0.01</v>
      </c>
      <c r="H5" s="106">
        <v>0.01</v>
      </c>
      <c r="J5" s="106">
        <v>0.01</v>
      </c>
      <c r="L5" s="119">
        <v>0.01</v>
      </c>
      <c r="N5" s="1">
        <v>0.01</v>
      </c>
    </row>
    <row r="6" spans="1:14" s="1" customFormat="1" ht="12.75">
      <c r="A6" s="105">
        <v>42386</v>
      </c>
      <c r="B6" s="106">
        <v>0.01</v>
      </c>
      <c r="C6" s="129"/>
      <c r="D6" s="106">
        <v>0.01</v>
      </c>
      <c r="F6" s="106">
        <v>0.01</v>
      </c>
      <c r="H6" s="106">
        <v>0.01</v>
      </c>
      <c r="J6" s="106">
        <v>0.01</v>
      </c>
      <c r="L6" s="119">
        <v>0.01</v>
      </c>
      <c r="N6" s="1">
        <v>0.01</v>
      </c>
    </row>
    <row r="7" spans="1:14" s="1" customFormat="1" ht="12.75">
      <c r="A7" s="105">
        <v>42417</v>
      </c>
      <c r="B7" s="106">
        <v>0.01</v>
      </c>
      <c r="C7" s="129"/>
      <c r="D7" s="106">
        <v>0.01</v>
      </c>
      <c r="F7" s="106">
        <v>0.01</v>
      </c>
      <c r="H7" s="106">
        <v>0.01</v>
      </c>
      <c r="J7" s="106">
        <v>0.01</v>
      </c>
      <c r="L7" s="119">
        <v>0.01</v>
      </c>
      <c r="N7" s="1">
        <v>0.01</v>
      </c>
    </row>
    <row r="8" spans="1:14" s="65" customFormat="1" ht="12.75">
      <c r="A8" s="63">
        <v>42446</v>
      </c>
      <c r="B8" s="64">
        <v>0.01</v>
      </c>
      <c r="C8" s="101"/>
      <c r="D8" s="64">
        <v>0.01</v>
      </c>
      <c r="F8" s="64">
        <v>0.01</v>
      </c>
      <c r="H8" s="64">
        <v>0.01</v>
      </c>
      <c r="J8" s="64">
        <v>0.01</v>
      </c>
      <c r="L8" s="120">
        <v>0.01</v>
      </c>
      <c r="N8" s="65">
        <v>0.01</v>
      </c>
    </row>
    <row r="9" spans="1:14" s="65" customFormat="1" ht="12.75">
      <c r="A9" s="63">
        <v>42477</v>
      </c>
      <c r="B9" s="64">
        <v>0.01</v>
      </c>
      <c r="C9" s="101"/>
      <c r="D9" s="64">
        <v>0.01</v>
      </c>
      <c r="F9" s="64">
        <v>0.01</v>
      </c>
      <c r="H9" s="64">
        <v>0.01</v>
      </c>
      <c r="J9" s="64">
        <v>0.01</v>
      </c>
      <c r="L9" s="120">
        <v>0.01</v>
      </c>
      <c r="N9" s="65">
        <v>0.01</v>
      </c>
    </row>
    <row r="10" spans="1:14" s="1" customFormat="1" ht="12.75">
      <c r="A10" s="105">
        <v>42507</v>
      </c>
      <c r="B10" s="106">
        <v>0.01</v>
      </c>
      <c r="C10" s="129"/>
      <c r="D10" s="106">
        <v>0.01</v>
      </c>
      <c r="F10" s="106">
        <v>0.01</v>
      </c>
      <c r="H10" s="106">
        <v>0.01</v>
      </c>
      <c r="J10" s="106">
        <v>0.01</v>
      </c>
      <c r="L10" s="119">
        <v>0.01</v>
      </c>
      <c r="N10" s="1">
        <v>0.01</v>
      </c>
    </row>
    <row r="11" spans="1:14" s="65" customFormat="1" ht="12.75">
      <c r="A11" s="63">
        <v>42538</v>
      </c>
      <c r="B11" s="64">
        <v>0.01</v>
      </c>
      <c r="C11" s="101"/>
      <c r="D11" s="64">
        <v>0.01</v>
      </c>
      <c r="F11" s="64">
        <v>0.01</v>
      </c>
      <c r="H11" s="64">
        <v>0.01</v>
      </c>
      <c r="J11" s="64">
        <v>0.01</v>
      </c>
      <c r="L11" s="120">
        <v>0.01</v>
      </c>
      <c r="N11" s="65">
        <v>0.01</v>
      </c>
    </row>
    <row r="12" spans="1:14" s="65" customFormat="1" ht="12.75">
      <c r="A12" s="63">
        <v>42568</v>
      </c>
      <c r="B12" s="64">
        <v>0.01</v>
      </c>
      <c r="C12" s="101"/>
      <c r="D12" s="64">
        <v>0.01</v>
      </c>
      <c r="F12" s="64">
        <v>0.01</v>
      </c>
      <c r="H12" s="64">
        <v>0.01</v>
      </c>
      <c r="J12" s="64">
        <v>0.01</v>
      </c>
      <c r="L12" s="120">
        <v>0.01</v>
      </c>
      <c r="N12" s="65">
        <v>0.01</v>
      </c>
    </row>
    <row r="13" spans="1:14" s="1" customFormat="1" ht="12.75">
      <c r="A13" s="105">
        <v>42599</v>
      </c>
      <c r="B13" s="106">
        <v>0.01</v>
      </c>
      <c r="C13" s="129"/>
      <c r="D13" s="106">
        <v>0.01</v>
      </c>
      <c r="F13" s="106">
        <v>0.01</v>
      </c>
      <c r="H13" s="106">
        <v>0.01</v>
      </c>
      <c r="J13" s="106">
        <v>0.01</v>
      </c>
      <c r="L13" s="119">
        <v>0.01</v>
      </c>
      <c r="N13" s="1">
        <v>0.01</v>
      </c>
    </row>
    <row r="14" spans="1:14" s="65" customFormat="1" ht="12.75">
      <c r="A14" s="105">
        <v>42630</v>
      </c>
      <c r="B14" s="106">
        <v>0.01</v>
      </c>
      <c r="C14" s="129"/>
      <c r="D14" s="106">
        <v>0.01</v>
      </c>
      <c r="E14" s="1"/>
      <c r="F14" s="106">
        <v>0.01</v>
      </c>
      <c r="G14" s="1"/>
      <c r="H14" s="106">
        <v>0.01</v>
      </c>
      <c r="I14" s="1"/>
      <c r="J14" s="106">
        <v>0.01</v>
      </c>
      <c r="K14" s="1"/>
      <c r="L14" s="119">
        <v>0.01</v>
      </c>
      <c r="N14" s="65">
        <v>0.01</v>
      </c>
    </row>
    <row r="15" spans="1:20" s="65" customFormat="1" ht="12.75">
      <c r="A15" s="105">
        <v>42660</v>
      </c>
      <c r="B15" s="106">
        <v>0.02851985</v>
      </c>
      <c r="C15" s="129"/>
      <c r="D15" s="106">
        <v>0.02851985</v>
      </c>
      <c r="E15" s="1"/>
      <c r="F15" s="106">
        <v>0.02851985</v>
      </c>
      <c r="G15" s="1"/>
      <c r="H15" s="106">
        <v>0.02851985</v>
      </c>
      <c r="I15" s="1"/>
      <c r="J15" s="106">
        <v>0.02851985</v>
      </c>
      <c r="K15" s="1"/>
      <c r="L15" s="119">
        <v>0.02851985</v>
      </c>
      <c r="M15" s="96"/>
      <c r="N15" s="96">
        <v>0.04536323</v>
      </c>
      <c r="O15" s="96"/>
      <c r="P15" s="96"/>
      <c r="Q15" s="96"/>
      <c r="R15" s="96"/>
      <c r="S15" s="96"/>
      <c r="T15" s="96"/>
    </row>
    <row r="16" spans="1:20" s="1" customFormat="1" ht="12.75">
      <c r="A16" s="105">
        <v>42691</v>
      </c>
      <c r="B16" s="106">
        <v>0.0648496</v>
      </c>
      <c r="C16" s="129"/>
      <c r="D16" s="106">
        <v>0.0648496</v>
      </c>
      <c r="F16" s="106">
        <v>0.0648496</v>
      </c>
      <c r="H16" s="106">
        <v>0.0648496</v>
      </c>
      <c r="J16" s="106">
        <v>0.0648496</v>
      </c>
      <c r="L16" s="119">
        <v>0.0648496</v>
      </c>
      <c r="M16" s="96"/>
      <c r="N16" s="96">
        <v>0.060523</v>
      </c>
      <c r="O16" s="96"/>
      <c r="P16" s="96"/>
      <c r="Q16" s="96"/>
      <c r="R16" s="96"/>
      <c r="S16" s="96"/>
      <c r="T16" s="96"/>
    </row>
    <row r="17" spans="1:36" s="102" customFormat="1" ht="12.75">
      <c r="A17" s="105">
        <v>42721</v>
      </c>
      <c r="B17" s="106">
        <v>0.06083283</v>
      </c>
      <c r="C17" s="129"/>
      <c r="D17" s="106">
        <v>0.06083283</v>
      </c>
      <c r="E17" s="1"/>
      <c r="F17" s="106">
        <v>0.06083283</v>
      </c>
      <c r="G17" s="1"/>
      <c r="H17" s="106">
        <v>0.06083283</v>
      </c>
      <c r="I17" s="1"/>
      <c r="J17" s="106">
        <v>0.06083283</v>
      </c>
      <c r="K17" s="1"/>
      <c r="L17" s="119">
        <v>0.06083283</v>
      </c>
      <c r="M17" s="96"/>
      <c r="N17" s="96">
        <v>0.05765859</v>
      </c>
      <c r="O17" s="96"/>
      <c r="P17" s="96"/>
      <c r="Q17" s="96"/>
      <c r="R17" s="96"/>
      <c r="S17" s="96"/>
      <c r="T17" s="96"/>
      <c r="U17" s="1"/>
      <c r="V17" s="1"/>
      <c r="W17" s="1"/>
      <c r="X17" s="1"/>
      <c r="Y17" s="1"/>
      <c r="Z17" s="1"/>
      <c r="AA17" s="1"/>
      <c r="AB17" s="1"/>
      <c r="AC17" s="1"/>
      <c r="AD17" s="1"/>
      <c r="AE17" s="1"/>
      <c r="AF17" s="1"/>
      <c r="AG17" s="1"/>
      <c r="AH17" s="1"/>
      <c r="AI17" s="1"/>
      <c r="AJ17" s="1"/>
    </row>
    <row r="18" spans="1:14" ht="12.75">
      <c r="A18" s="105">
        <v>42752</v>
      </c>
      <c r="B18" s="106">
        <v>0.05877374</v>
      </c>
      <c r="C18" s="129"/>
      <c r="D18" s="106">
        <v>0.05877374</v>
      </c>
      <c r="E18" s="1"/>
      <c r="F18" s="106">
        <v>0.05877374</v>
      </c>
      <c r="G18" s="1"/>
      <c r="H18" s="106">
        <v>0.05877374</v>
      </c>
      <c r="I18" s="1"/>
      <c r="J18" s="106">
        <v>0.05877374</v>
      </c>
      <c r="K18" s="1"/>
      <c r="L18" s="119">
        <v>0.05877374</v>
      </c>
      <c r="N18" s="96">
        <v>0.05566717</v>
      </c>
    </row>
    <row r="19" spans="1:14" ht="12.75">
      <c r="A19" s="105">
        <v>42783</v>
      </c>
      <c r="B19" s="106">
        <v>0.05443366</v>
      </c>
      <c r="C19" s="129"/>
      <c r="D19" s="106">
        <v>0.05443366</v>
      </c>
      <c r="E19" s="1"/>
      <c r="F19" s="106">
        <v>0.05443366</v>
      </c>
      <c r="G19" s="1"/>
      <c r="H19" s="106">
        <v>0.05443366</v>
      </c>
      <c r="I19" s="1"/>
      <c r="J19" s="106">
        <v>0.05443366</v>
      </c>
      <c r="K19" s="1"/>
      <c r="L19" s="119">
        <v>0.05443366</v>
      </c>
      <c r="N19" s="96">
        <v>0.05349086</v>
      </c>
    </row>
    <row r="20" spans="1:14" ht="12.75">
      <c r="A20" s="105">
        <v>42811</v>
      </c>
      <c r="B20" s="106">
        <v>0.04730645</v>
      </c>
      <c r="C20" s="129"/>
      <c r="D20" s="106">
        <v>0.04730645</v>
      </c>
      <c r="E20" s="1"/>
      <c r="F20" s="106">
        <v>0.04730645</v>
      </c>
      <c r="G20" s="1"/>
      <c r="H20" s="106">
        <v>0.04730645</v>
      </c>
      <c r="I20" s="1"/>
      <c r="J20" s="106">
        <v>0.04730645</v>
      </c>
      <c r="K20" s="1"/>
      <c r="L20" s="119">
        <v>0.04730645</v>
      </c>
      <c r="N20" s="96">
        <v>0.05136512</v>
      </c>
    </row>
    <row r="21" spans="1:14" ht="12.75">
      <c r="A21" s="105">
        <v>42842</v>
      </c>
      <c r="B21" s="106">
        <v>0.04083409</v>
      </c>
      <c r="C21" s="129"/>
      <c r="D21" s="106">
        <v>0.04083409</v>
      </c>
      <c r="E21" s="1"/>
      <c r="F21" s="106">
        <v>0.04083409</v>
      </c>
      <c r="G21" s="1"/>
      <c r="H21" s="106">
        <v>0.04083409</v>
      </c>
      <c r="I21" s="1"/>
      <c r="J21" s="106">
        <v>0.04083409</v>
      </c>
      <c r="K21" s="1"/>
      <c r="L21" s="119">
        <v>0.04083409</v>
      </c>
      <c r="N21" s="96">
        <v>0.04871042</v>
      </c>
    </row>
    <row r="22" spans="1:14" ht="12.75">
      <c r="A22" s="105">
        <v>42872</v>
      </c>
      <c r="B22" s="106">
        <v>0.05072678</v>
      </c>
      <c r="C22" s="129"/>
      <c r="D22" s="106">
        <v>0.05072678</v>
      </c>
      <c r="E22" s="1"/>
      <c r="F22" s="106">
        <v>0.05072678</v>
      </c>
      <c r="G22" s="1"/>
      <c r="H22" s="106">
        <v>0.05072678</v>
      </c>
      <c r="I22" s="1"/>
      <c r="J22" s="106">
        <v>0.05072678</v>
      </c>
      <c r="K22" s="1"/>
      <c r="L22" s="119">
        <v>0.05072678</v>
      </c>
      <c r="N22" s="96">
        <v>0.04643519</v>
      </c>
    </row>
    <row r="23" spans="1:14" ht="12.75">
      <c r="A23" s="105">
        <v>42903</v>
      </c>
      <c r="B23" s="106">
        <v>0.04709229</v>
      </c>
      <c r="C23" s="129"/>
      <c r="D23" s="106">
        <v>0.04709229</v>
      </c>
      <c r="E23" s="1"/>
      <c r="F23" s="106">
        <v>0.04709229</v>
      </c>
      <c r="G23" s="1"/>
      <c r="H23" s="106">
        <v>0.04709229</v>
      </c>
      <c r="I23" s="1"/>
      <c r="J23" s="106">
        <v>0.04709229</v>
      </c>
      <c r="K23" s="1"/>
      <c r="L23" s="119">
        <v>0.04709229</v>
      </c>
      <c r="N23" s="96">
        <v>0.04445318</v>
      </c>
    </row>
    <row r="24" spans="1:14" ht="12.75">
      <c r="A24" s="105">
        <v>42933</v>
      </c>
      <c r="B24" s="106">
        <v>0.0410026</v>
      </c>
      <c r="C24" s="129"/>
      <c r="D24" s="106">
        <v>0.0410026</v>
      </c>
      <c r="E24" s="1"/>
      <c r="F24" s="106">
        <v>0.0410026</v>
      </c>
      <c r="G24" s="1"/>
      <c r="H24" s="106">
        <v>0.0410026</v>
      </c>
      <c r="I24" s="1"/>
      <c r="J24" s="106">
        <v>0.0410026</v>
      </c>
      <c r="K24" s="1"/>
      <c r="L24" s="119">
        <v>0.0410026</v>
      </c>
      <c r="N24" s="96">
        <v>0.04222322</v>
      </c>
    </row>
    <row r="25" spans="1:14" ht="12.75">
      <c r="A25" s="105">
        <v>42964</v>
      </c>
      <c r="B25" s="106">
        <v>0.05323807</v>
      </c>
      <c r="C25" s="129"/>
      <c r="D25" s="106">
        <v>0.05323807</v>
      </c>
      <c r="E25" s="1"/>
      <c r="F25" s="106">
        <v>0.05323807</v>
      </c>
      <c r="G25" s="1"/>
      <c r="H25" s="106">
        <v>0.05323807</v>
      </c>
      <c r="I25" s="1"/>
      <c r="J25" s="106">
        <v>0.05323807</v>
      </c>
      <c r="K25" s="1"/>
      <c r="L25" s="119">
        <v>0.05323807</v>
      </c>
      <c r="N25" s="96">
        <v>0.04034702</v>
      </c>
    </row>
    <row r="26" spans="1:14" ht="12.75">
      <c r="A26" s="105">
        <v>42995</v>
      </c>
      <c r="B26" s="106">
        <v>0.03366219</v>
      </c>
      <c r="C26" s="129"/>
      <c r="D26" s="106">
        <v>0.03366219</v>
      </c>
      <c r="E26" s="1"/>
      <c r="F26" s="106">
        <v>0.03366219</v>
      </c>
      <c r="G26" s="1"/>
      <c r="H26" s="106">
        <v>0.03366219</v>
      </c>
      <c r="I26" s="1"/>
      <c r="J26" s="106">
        <v>0.03366219</v>
      </c>
      <c r="K26" s="1"/>
      <c r="L26" s="119">
        <v>0.03366219</v>
      </c>
      <c r="N26" s="96">
        <v>0.03495624</v>
      </c>
    </row>
    <row r="27" spans="1:14" ht="12.75">
      <c r="A27" s="105">
        <v>43025</v>
      </c>
      <c r="B27" s="106">
        <v>0.03605743</v>
      </c>
      <c r="C27" s="129"/>
      <c r="D27" s="106">
        <v>0.03605743</v>
      </c>
      <c r="E27" s="1"/>
      <c r="F27" s="106">
        <v>0.03605743</v>
      </c>
      <c r="G27" s="1"/>
      <c r="H27" s="106">
        <v>0.03605743</v>
      </c>
      <c r="I27" s="1"/>
      <c r="J27" s="106">
        <v>0.03605743</v>
      </c>
      <c r="K27" s="1"/>
      <c r="L27" s="119">
        <v>0.03605743</v>
      </c>
      <c r="N27" s="96">
        <v>0.0364522</v>
      </c>
    </row>
    <row r="28" spans="1:14" ht="12.75">
      <c r="A28" s="105">
        <v>43056</v>
      </c>
      <c r="B28" s="106">
        <v>0.04560506</v>
      </c>
      <c r="C28" s="129"/>
      <c r="D28" s="106">
        <v>0.04560506</v>
      </c>
      <c r="E28" s="1"/>
      <c r="F28" s="106">
        <v>0.04560506</v>
      </c>
      <c r="G28" s="1"/>
      <c r="H28" s="106">
        <v>0.04560506</v>
      </c>
      <c r="I28" s="1"/>
      <c r="J28" s="106">
        <v>0.04560506</v>
      </c>
      <c r="K28" s="1"/>
      <c r="L28" s="119">
        <v>0.04560506</v>
      </c>
      <c r="N28" s="96">
        <v>0.03459646</v>
      </c>
    </row>
    <row r="29" spans="1:14" ht="12.75">
      <c r="A29" s="105">
        <v>43086</v>
      </c>
      <c r="B29" s="106">
        <v>0.03703401</v>
      </c>
      <c r="C29" s="129"/>
      <c r="D29" s="106">
        <v>0.03703401</v>
      </c>
      <c r="E29" s="1"/>
      <c r="F29" s="106">
        <v>0.03703401</v>
      </c>
      <c r="G29" s="1"/>
      <c r="H29" s="106">
        <v>0.03703401</v>
      </c>
      <c r="I29" s="1"/>
      <c r="J29" s="106">
        <v>0.03703401</v>
      </c>
      <c r="K29" s="1"/>
      <c r="L29" s="119">
        <v>0.03703401</v>
      </c>
      <c r="N29" s="96">
        <v>0.03283459</v>
      </c>
    </row>
    <row r="30" spans="1:14" ht="12.75">
      <c r="A30" s="123">
        <v>43117</v>
      </c>
      <c r="B30" s="124">
        <v>0.02719238</v>
      </c>
      <c r="C30" s="126"/>
      <c r="D30" s="124">
        <v>0.02719238</v>
      </c>
      <c r="E30" s="102"/>
      <c r="F30" s="124">
        <v>0.02719238</v>
      </c>
      <c r="G30" s="102"/>
      <c r="H30" s="124">
        <v>0.02719238</v>
      </c>
      <c r="I30" s="102"/>
      <c r="J30" s="124">
        <v>0.02719238</v>
      </c>
      <c r="K30" s="102"/>
      <c r="L30" s="125">
        <v>0.02719238</v>
      </c>
      <c r="N30" s="96">
        <v>0.03143476</v>
      </c>
    </row>
    <row r="31" spans="1:14" ht="12.75">
      <c r="A31" s="63">
        <v>43148</v>
      </c>
      <c r="B31" s="97">
        <v>0.0319883</v>
      </c>
      <c r="C31" s="101"/>
      <c r="D31" s="97">
        <v>0.0319883</v>
      </c>
      <c r="F31" s="97">
        <v>0.0319883</v>
      </c>
      <c r="H31" s="97">
        <v>0.0319883</v>
      </c>
      <c r="J31" s="97">
        <v>0.0319883</v>
      </c>
      <c r="L31" s="121">
        <v>0.0319883</v>
      </c>
      <c r="N31" s="96">
        <v>0.03006063</v>
      </c>
    </row>
    <row r="32" spans="1:14" ht="12.75">
      <c r="A32" s="63">
        <v>43176</v>
      </c>
      <c r="B32" s="97">
        <v>0.03053954</v>
      </c>
      <c r="C32" s="101"/>
      <c r="D32" s="97">
        <v>0.03053954</v>
      </c>
      <c r="F32" s="97">
        <v>0.03053954</v>
      </c>
      <c r="H32" s="97">
        <v>0.03053954</v>
      </c>
      <c r="J32" s="97">
        <v>0.03053954</v>
      </c>
      <c r="L32" s="121">
        <v>0.03053954</v>
      </c>
      <c r="N32" s="96">
        <v>0.02837411</v>
      </c>
    </row>
    <row r="33" spans="1:14" ht="12.75">
      <c r="A33" s="105">
        <v>43207</v>
      </c>
      <c r="B33" s="97">
        <v>0.02420167</v>
      </c>
      <c r="C33" s="101"/>
      <c r="D33" s="97">
        <v>0.02420167</v>
      </c>
      <c r="F33" s="97">
        <v>0.02420167</v>
      </c>
      <c r="H33" s="97">
        <v>0.02420167</v>
      </c>
      <c r="J33" s="97">
        <v>0.02420167</v>
      </c>
      <c r="L33" s="121">
        <v>0.02420167</v>
      </c>
      <c r="N33" s="96">
        <v>0.02694709</v>
      </c>
    </row>
    <row r="34" spans="1:14" ht="12.75">
      <c r="A34" s="63">
        <v>43237</v>
      </c>
      <c r="B34" s="97">
        <v>0.02375146</v>
      </c>
      <c r="C34" s="101"/>
      <c r="D34" s="97">
        <v>0.02375146</v>
      </c>
      <c r="F34" s="97">
        <v>0.02375146</v>
      </c>
      <c r="H34" s="97">
        <v>0.02375146</v>
      </c>
      <c r="J34" s="97">
        <v>0.02375146</v>
      </c>
      <c r="L34" s="121">
        <v>0.02375146</v>
      </c>
      <c r="N34" s="96">
        <v>0.02564989</v>
      </c>
    </row>
    <row r="35" spans="1:14" ht="12.75">
      <c r="A35" s="63">
        <v>43268</v>
      </c>
      <c r="B35" s="97">
        <v>0.02231209</v>
      </c>
      <c r="C35" s="101"/>
      <c r="D35" s="97">
        <v>0.02231209</v>
      </c>
      <c r="F35" s="97">
        <v>0.02231209</v>
      </c>
      <c r="H35" s="97">
        <v>0.02231209</v>
      </c>
      <c r="J35" s="97">
        <v>0.02231209</v>
      </c>
      <c r="L35" s="121">
        <v>0.02231209</v>
      </c>
      <c r="N35" s="96">
        <v>0.02421276</v>
      </c>
    </row>
    <row r="36" spans="1:14" ht="12.75">
      <c r="A36" s="105">
        <v>43298</v>
      </c>
      <c r="B36" s="97">
        <v>0</v>
      </c>
      <c r="C36" s="101"/>
      <c r="D36" s="97">
        <v>0.02004591</v>
      </c>
      <c r="F36" s="97">
        <v>0.02004591</v>
      </c>
      <c r="H36" s="97">
        <v>0.02004591</v>
      </c>
      <c r="J36" s="97">
        <v>0.02004591</v>
      </c>
      <c r="L36" s="121">
        <v>0.02004591</v>
      </c>
      <c r="N36" s="96">
        <v>0.02288238</v>
      </c>
    </row>
    <row r="37" spans="1:14" ht="12.75">
      <c r="A37" s="63">
        <v>43329</v>
      </c>
      <c r="B37" s="97">
        <v>0</v>
      </c>
      <c r="C37" s="101"/>
      <c r="D37" s="97">
        <v>0</v>
      </c>
      <c r="F37" s="97">
        <v>0</v>
      </c>
      <c r="H37" s="97">
        <v>0</v>
      </c>
      <c r="J37" s="97">
        <v>0</v>
      </c>
      <c r="L37" s="121">
        <v>0</v>
      </c>
      <c r="N37" s="96">
        <v>0.00536189</v>
      </c>
    </row>
    <row r="38" spans="1:14" ht="12.75">
      <c r="A38" s="63">
        <v>43360</v>
      </c>
      <c r="B38" s="97">
        <v>0</v>
      </c>
      <c r="C38" s="101"/>
      <c r="D38" s="97">
        <v>0</v>
      </c>
      <c r="F38" s="97">
        <v>0</v>
      </c>
      <c r="H38" s="97">
        <v>0</v>
      </c>
      <c r="J38" s="97">
        <v>0</v>
      </c>
      <c r="L38" s="121">
        <v>0</v>
      </c>
      <c r="N38" s="96">
        <v>0</v>
      </c>
    </row>
    <row r="39" spans="1:14" ht="12.75">
      <c r="A39" s="105">
        <v>43390</v>
      </c>
      <c r="B39" s="97">
        <v>0</v>
      </c>
      <c r="C39" s="101"/>
      <c r="D39" s="97">
        <v>0</v>
      </c>
      <c r="F39" s="97">
        <v>0</v>
      </c>
      <c r="H39" s="97">
        <v>0</v>
      </c>
      <c r="J39" s="97">
        <v>0</v>
      </c>
      <c r="L39" s="121">
        <v>0</v>
      </c>
      <c r="N39" s="96">
        <v>0</v>
      </c>
    </row>
    <row r="40" spans="1:14" ht="12.75">
      <c r="A40" s="63">
        <v>43421</v>
      </c>
      <c r="B40" s="97">
        <v>0</v>
      </c>
      <c r="C40" s="101"/>
      <c r="D40" s="97">
        <v>0</v>
      </c>
      <c r="F40" s="97">
        <v>0</v>
      </c>
      <c r="H40" s="97">
        <v>0</v>
      </c>
      <c r="J40" s="97">
        <v>0</v>
      </c>
      <c r="L40" s="121">
        <v>0</v>
      </c>
      <c r="N40" s="96">
        <v>0</v>
      </c>
    </row>
    <row r="41" spans="1:14" ht="12.75">
      <c r="A41" s="63">
        <v>43451</v>
      </c>
      <c r="B41" s="97">
        <v>0</v>
      </c>
      <c r="C41" s="101"/>
      <c r="D41" s="97">
        <v>0</v>
      </c>
      <c r="F41" s="97">
        <v>0</v>
      </c>
      <c r="H41" s="97">
        <v>0</v>
      </c>
      <c r="J41" s="97">
        <v>0</v>
      </c>
      <c r="L41" s="121">
        <v>0</v>
      </c>
      <c r="N41" s="96">
        <v>0</v>
      </c>
    </row>
    <row r="42" spans="1:14" ht="12.75">
      <c r="A42" s="105">
        <v>43482</v>
      </c>
      <c r="B42" s="97">
        <v>0</v>
      </c>
      <c r="C42" s="101"/>
      <c r="D42" s="97">
        <v>0</v>
      </c>
      <c r="F42" s="97">
        <v>0</v>
      </c>
      <c r="H42" s="97">
        <v>0</v>
      </c>
      <c r="J42" s="97">
        <v>0</v>
      </c>
      <c r="L42" s="121">
        <v>0</v>
      </c>
      <c r="N42" s="96">
        <v>0</v>
      </c>
    </row>
    <row r="43" spans="1:14" ht="12.75">
      <c r="A43" s="63">
        <v>43513</v>
      </c>
      <c r="B43" s="97">
        <v>0</v>
      </c>
      <c r="C43" s="101"/>
      <c r="D43" s="97">
        <v>0</v>
      </c>
      <c r="F43" s="97">
        <v>0</v>
      </c>
      <c r="H43" s="97">
        <v>0</v>
      </c>
      <c r="J43" s="97">
        <v>0</v>
      </c>
      <c r="L43" s="121">
        <v>0</v>
      </c>
      <c r="N43" s="96">
        <v>0</v>
      </c>
    </row>
    <row r="44" spans="1:14" ht="12.75">
      <c r="A44" s="63">
        <v>43541</v>
      </c>
      <c r="B44" s="97">
        <v>0</v>
      </c>
      <c r="C44" s="101"/>
      <c r="D44" s="97">
        <v>0</v>
      </c>
      <c r="F44" s="97">
        <v>0</v>
      </c>
      <c r="H44" s="97">
        <v>0</v>
      </c>
      <c r="J44" s="97">
        <v>0</v>
      </c>
      <c r="L44" s="121">
        <v>0</v>
      </c>
      <c r="N44" s="96">
        <v>0</v>
      </c>
    </row>
    <row r="45" spans="1:14" ht="12.75">
      <c r="A45" s="105">
        <v>43572</v>
      </c>
      <c r="B45" s="97">
        <v>0</v>
      </c>
      <c r="C45" s="101"/>
      <c r="D45" s="97">
        <v>0</v>
      </c>
      <c r="F45" s="97">
        <v>0</v>
      </c>
      <c r="H45" s="97">
        <v>0</v>
      </c>
      <c r="J45" s="97">
        <v>0</v>
      </c>
      <c r="L45" s="121">
        <v>0</v>
      </c>
      <c r="N45" s="96">
        <v>0</v>
      </c>
    </row>
    <row r="46" spans="1:14" ht="12.75">
      <c r="A46" s="63">
        <v>43602</v>
      </c>
      <c r="B46" s="97">
        <v>0</v>
      </c>
      <c r="C46" s="101"/>
      <c r="D46" s="97">
        <v>0</v>
      </c>
      <c r="F46" s="97">
        <v>0</v>
      </c>
      <c r="H46" s="97">
        <v>0</v>
      </c>
      <c r="J46" s="97">
        <v>0</v>
      </c>
      <c r="L46" s="121">
        <v>0</v>
      </c>
      <c r="N46" s="96">
        <v>0</v>
      </c>
    </row>
    <row r="47" spans="1:14" ht="12.75">
      <c r="A47" s="63">
        <v>43633</v>
      </c>
      <c r="B47" s="97">
        <v>0</v>
      </c>
      <c r="C47" s="101"/>
      <c r="D47" s="97">
        <v>0</v>
      </c>
      <c r="F47" s="97">
        <v>0</v>
      </c>
      <c r="H47" s="97">
        <v>0</v>
      </c>
      <c r="J47" s="97">
        <v>0</v>
      </c>
      <c r="L47" s="121">
        <v>0</v>
      </c>
      <c r="N47" s="96">
        <v>0</v>
      </c>
    </row>
    <row r="48" spans="1:14" ht="12.75">
      <c r="A48" s="105">
        <v>43663</v>
      </c>
      <c r="B48" s="97">
        <v>0</v>
      </c>
      <c r="C48" s="101"/>
      <c r="D48" s="97">
        <v>0</v>
      </c>
      <c r="F48" s="97">
        <v>0</v>
      </c>
      <c r="H48" s="97">
        <v>0</v>
      </c>
      <c r="J48" s="97">
        <v>0</v>
      </c>
      <c r="L48" s="121">
        <v>0</v>
      </c>
      <c r="N48" s="96">
        <v>0</v>
      </c>
    </row>
    <row r="49" spans="1:14" ht="12.75">
      <c r="A49" s="63">
        <v>43694</v>
      </c>
      <c r="B49" s="97">
        <v>0</v>
      </c>
      <c r="C49" s="101"/>
      <c r="D49" s="97">
        <v>0</v>
      </c>
      <c r="F49" s="97">
        <v>0</v>
      </c>
      <c r="H49" s="97">
        <v>0</v>
      </c>
      <c r="J49" s="97">
        <v>0</v>
      </c>
      <c r="L49" s="121">
        <v>0</v>
      </c>
      <c r="N49" s="96">
        <v>0</v>
      </c>
    </row>
    <row r="50" spans="1:14" ht="12.75">
      <c r="A50" s="63">
        <v>43725</v>
      </c>
      <c r="B50" s="97">
        <v>0.02004591</v>
      </c>
      <c r="C50" s="101"/>
      <c r="D50" s="97">
        <v>0</v>
      </c>
      <c r="F50" s="97">
        <v>0</v>
      </c>
      <c r="H50" s="97">
        <v>0</v>
      </c>
      <c r="J50" s="97">
        <v>0</v>
      </c>
      <c r="L50" s="121">
        <v>0</v>
      </c>
      <c r="N50" s="96">
        <v>0</v>
      </c>
    </row>
    <row r="51" spans="1:14" ht="12.75">
      <c r="A51" s="105">
        <v>43755</v>
      </c>
      <c r="B51" s="97">
        <v>0</v>
      </c>
      <c r="C51" s="101"/>
      <c r="D51" s="97">
        <v>0</v>
      </c>
      <c r="F51" s="97">
        <v>0</v>
      </c>
      <c r="H51" s="97">
        <v>0</v>
      </c>
      <c r="J51" s="97">
        <v>0</v>
      </c>
      <c r="L51" s="121">
        <v>0</v>
      </c>
      <c r="N51" s="96">
        <v>0</v>
      </c>
    </row>
    <row r="52" spans="1:14" ht="12.75">
      <c r="A52" s="63">
        <v>43786</v>
      </c>
      <c r="B52" s="97">
        <v>0</v>
      </c>
      <c r="C52" s="101"/>
      <c r="D52" s="97">
        <v>0</v>
      </c>
      <c r="F52" s="97">
        <v>0</v>
      </c>
      <c r="H52" s="97">
        <v>0</v>
      </c>
      <c r="J52" s="97">
        <v>0</v>
      </c>
      <c r="L52" s="121">
        <v>0</v>
      </c>
      <c r="N52" s="96">
        <v>0</v>
      </c>
    </row>
    <row r="53" spans="1:14" ht="12.75">
      <c r="A53" s="63">
        <v>43816</v>
      </c>
      <c r="B53" s="97">
        <v>0</v>
      </c>
      <c r="C53" s="101"/>
      <c r="D53" s="97">
        <v>0</v>
      </c>
      <c r="F53" s="97">
        <v>0</v>
      </c>
      <c r="H53" s="97">
        <v>0</v>
      </c>
      <c r="J53" s="97">
        <v>0</v>
      </c>
      <c r="L53" s="121">
        <v>0</v>
      </c>
      <c r="N53" s="96">
        <v>0</v>
      </c>
    </row>
    <row r="54" spans="1:14" ht="12.75">
      <c r="A54" s="105">
        <v>43847</v>
      </c>
      <c r="B54" s="97">
        <v>0</v>
      </c>
      <c r="C54" s="101"/>
      <c r="D54" s="97">
        <v>0</v>
      </c>
      <c r="F54" s="97">
        <v>0</v>
      </c>
      <c r="H54" s="97">
        <v>0</v>
      </c>
      <c r="J54" s="97">
        <v>0</v>
      </c>
      <c r="L54" s="121">
        <v>0</v>
      </c>
      <c r="N54" s="96">
        <v>0</v>
      </c>
    </row>
    <row r="55" spans="1:14" ht="12.75">
      <c r="A55" s="63">
        <v>43878</v>
      </c>
      <c r="B55" s="97">
        <v>0</v>
      </c>
      <c r="C55" s="101"/>
      <c r="D55" s="97">
        <v>0</v>
      </c>
      <c r="F55" s="97">
        <v>0</v>
      </c>
      <c r="H55" s="97">
        <v>0</v>
      </c>
      <c r="J55" s="97">
        <v>0</v>
      </c>
      <c r="L55" s="121">
        <v>0</v>
      </c>
      <c r="N55" s="96">
        <v>0</v>
      </c>
    </row>
    <row r="56" spans="1:14" ht="12.75">
      <c r="A56" s="63">
        <v>43907</v>
      </c>
      <c r="B56" s="97">
        <v>0</v>
      </c>
      <c r="C56" s="101"/>
      <c r="D56" s="97">
        <v>0</v>
      </c>
      <c r="F56" s="97">
        <v>0</v>
      </c>
      <c r="H56" s="97">
        <v>0</v>
      </c>
      <c r="J56" s="97">
        <v>0</v>
      </c>
      <c r="L56" s="121">
        <v>0</v>
      </c>
      <c r="N56" s="96">
        <v>0</v>
      </c>
    </row>
    <row r="57" spans="1:14" ht="12.75">
      <c r="A57" s="105">
        <v>43938</v>
      </c>
      <c r="B57" s="97">
        <v>0</v>
      </c>
      <c r="C57" s="101"/>
      <c r="D57" s="97">
        <v>0</v>
      </c>
      <c r="F57" s="97">
        <v>0</v>
      </c>
      <c r="H57" s="97">
        <v>0</v>
      </c>
      <c r="J57" s="97">
        <v>0</v>
      </c>
      <c r="L57" s="121">
        <v>0</v>
      </c>
      <c r="N57" s="96">
        <v>0</v>
      </c>
    </row>
    <row r="58" spans="1:14" ht="12.75">
      <c r="A58" s="63">
        <v>43968</v>
      </c>
      <c r="B58" s="97">
        <v>0</v>
      </c>
      <c r="C58" s="101"/>
      <c r="D58" s="97">
        <v>0</v>
      </c>
      <c r="F58" s="97">
        <v>0</v>
      </c>
      <c r="H58" s="97">
        <v>0</v>
      </c>
      <c r="J58" s="97">
        <v>0</v>
      </c>
      <c r="L58" s="121">
        <v>0</v>
      </c>
      <c r="N58" s="96">
        <v>0</v>
      </c>
    </row>
    <row r="59" spans="1:14" ht="12.75">
      <c r="A59" s="63">
        <v>43999</v>
      </c>
      <c r="B59" s="97">
        <v>0</v>
      </c>
      <c r="C59" s="101"/>
      <c r="D59" s="97">
        <v>0</v>
      </c>
      <c r="F59" s="97">
        <v>0</v>
      </c>
      <c r="H59" s="97">
        <v>0</v>
      </c>
      <c r="J59" s="97">
        <v>0</v>
      </c>
      <c r="L59" s="121">
        <v>0</v>
      </c>
      <c r="N59" s="96">
        <v>0</v>
      </c>
    </row>
    <row r="60" spans="1:14" ht="12.75">
      <c r="A60" s="105">
        <v>44029</v>
      </c>
      <c r="B60" s="97">
        <v>0</v>
      </c>
      <c r="C60" s="101"/>
      <c r="D60" s="97">
        <v>0</v>
      </c>
      <c r="F60" s="97">
        <v>0</v>
      </c>
      <c r="H60" s="97">
        <v>0</v>
      </c>
      <c r="J60" s="97">
        <v>0</v>
      </c>
      <c r="L60" s="121">
        <v>0</v>
      </c>
      <c r="N60" s="96">
        <v>0</v>
      </c>
    </row>
    <row r="61" spans="1:14" ht="12.75">
      <c r="A61" s="63">
        <v>44060</v>
      </c>
      <c r="B61" s="97">
        <v>0</v>
      </c>
      <c r="C61" s="101"/>
      <c r="D61" s="97">
        <v>0</v>
      </c>
      <c r="F61" s="97">
        <v>0</v>
      </c>
      <c r="H61" s="97">
        <v>0</v>
      </c>
      <c r="J61" s="97">
        <v>0</v>
      </c>
      <c r="L61" s="121">
        <v>0</v>
      </c>
      <c r="N61" s="96">
        <v>0</v>
      </c>
    </row>
    <row r="62" spans="1:14" ht="12.75">
      <c r="A62" s="63">
        <v>44091</v>
      </c>
      <c r="B62" s="97">
        <v>0</v>
      </c>
      <c r="C62" s="101"/>
      <c r="D62" s="97">
        <v>0</v>
      </c>
      <c r="F62" s="97">
        <v>0</v>
      </c>
      <c r="H62" s="97">
        <v>0</v>
      </c>
      <c r="J62" s="97">
        <v>0</v>
      </c>
      <c r="L62" s="121">
        <v>0</v>
      </c>
      <c r="N62" s="96">
        <v>0</v>
      </c>
    </row>
    <row r="63" spans="1:14" ht="12.75">
      <c r="A63" s="105">
        <v>44121</v>
      </c>
      <c r="B63" s="97">
        <v>0</v>
      </c>
      <c r="C63" s="101"/>
      <c r="D63" s="97">
        <v>0</v>
      </c>
      <c r="F63" s="97">
        <v>0</v>
      </c>
      <c r="H63" s="97">
        <v>0</v>
      </c>
      <c r="J63" s="97">
        <v>0</v>
      </c>
      <c r="L63" s="121">
        <v>0</v>
      </c>
      <c r="N63" s="96">
        <v>0</v>
      </c>
    </row>
    <row r="64" spans="1:14" ht="12.75">
      <c r="A64" s="63">
        <v>44152</v>
      </c>
      <c r="B64" s="97">
        <v>0</v>
      </c>
      <c r="C64" s="101"/>
      <c r="D64" s="97">
        <v>0</v>
      </c>
      <c r="F64" s="97">
        <v>0</v>
      </c>
      <c r="H64" s="97">
        <v>0</v>
      </c>
      <c r="J64" s="97">
        <v>0</v>
      </c>
      <c r="L64" s="121">
        <v>0</v>
      </c>
      <c r="N64" s="96">
        <v>0</v>
      </c>
    </row>
    <row r="65" spans="1:14" ht="12.75">
      <c r="A65" s="63">
        <v>44182</v>
      </c>
      <c r="B65" s="97">
        <v>0</v>
      </c>
      <c r="C65" s="101"/>
      <c r="D65" s="97">
        <v>0</v>
      </c>
      <c r="F65" s="97">
        <v>0</v>
      </c>
      <c r="H65" s="97">
        <v>0</v>
      </c>
      <c r="J65" s="97">
        <v>0</v>
      </c>
      <c r="L65" s="121">
        <v>0</v>
      </c>
      <c r="N65" s="96">
        <v>0</v>
      </c>
    </row>
    <row r="66" spans="1:14" ht="12.75">
      <c r="A66" s="105">
        <v>44213</v>
      </c>
      <c r="B66" s="97">
        <v>0</v>
      </c>
      <c r="C66" s="101"/>
      <c r="D66" s="97">
        <v>0</v>
      </c>
      <c r="F66" s="97">
        <v>0</v>
      </c>
      <c r="H66" s="97">
        <v>0</v>
      </c>
      <c r="J66" s="97">
        <v>0</v>
      </c>
      <c r="L66" s="121">
        <v>0</v>
      </c>
      <c r="N66" s="96">
        <v>0</v>
      </c>
    </row>
    <row r="67" spans="1:14" ht="12.75">
      <c r="A67" s="63">
        <v>44244</v>
      </c>
      <c r="B67" s="97">
        <v>0</v>
      </c>
      <c r="C67" s="101"/>
      <c r="D67" s="97">
        <v>0</v>
      </c>
      <c r="F67" s="97">
        <v>0</v>
      </c>
      <c r="H67" s="97">
        <v>0</v>
      </c>
      <c r="J67" s="97">
        <v>0</v>
      </c>
      <c r="L67" s="121">
        <v>0</v>
      </c>
      <c r="N67" s="96">
        <v>0</v>
      </c>
    </row>
    <row r="68" spans="1:14" ht="12.75">
      <c r="A68" s="63">
        <v>44272</v>
      </c>
      <c r="B68" s="97">
        <v>0</v>
      </c>
      <c r="C68" s="101"/>
      <c r="D68" s="97">
        <v>0</v>
      </c>
      <c r="F68" s="97">
        <v>0</v>
      </c>
      <c r="H68" s="97">
        <v>0</v>
      </c>
      <c r="J68" s="97">
        <v>0</v>
      </c>
      <c r="L68" s="121">
        <v>0</v>
      </c>
      <c r="N68" s="96">
        <v>0</v>
      </c>
    </row>
    <row r="69" spans="1:14" ht="12.75">
      <c r="A69" s="105">
        <v>44303</v>
      </c>
      <c r="B69" s="97">
        <v>0</v>
      </c>
      <c r="C69" s="101"/>
      <c r="D69" s="97">
        <v>0</v>
      </c>
      <c r="F69" s="97">
        <v>0</v>
      </c>
      <c r="H69" s="97">
        <v>0</v>
      </c>
      <c r="J69" s="97">
        <v>0</v>
      </c>
      <c r="L69" s="121">
        <v>0</v>
      </c>
      <c r="N69" s="96">
        <v>0</v>
      </c>
    </row>
    <row r="70" spans="1:14" ht="12.75">
      <c r="A70" s="63">
        <v>44333</v>
      </c>
      <c r="B70" s="97">
        <v>0</v>
      </c>
      <c r="C70" s="101"/>
      <c r="D70" s="97">
        <v>0</v>
      </c>
      <c r="F70" s="97">
        <v>0</v>
      </c>
      <c r="H70" s="97">
        <v>0</v>
      </c>
      <c r="J70" s="97">
        <v>0</v>
      </c>
      <c r="L70" s="121">
        <v>0</v>
      </c>
      <c r="N70" s="96">
        <v>0</v>
      </c>
    </row>
    <row r="71" spans="1:14" ht="12.75">
      <c r="A71" s="63">
        <v>44364</v>
      </c>
      <c r="B71" s="97">
        <v>0</v>
      </c>
      <c r="C71" s="101"/>
      <c r="D71" s="97">
        <v>0</v>
      </c>
      <c r="F71" s="97">
        <v>0</v>
      </c>
      <c r="H71" s="97">
        <v>0</v>
      </c>
      <c r="J71" s="97">
        <v>0</v>
      </c>
      <c r="L71" s="121">
        <v>0</v>
      </c>
      <c r="N71" s="96">
        <v>0</v>
      </c>
    </row>
    <row r="72" spans="1:14" ht="12.75">
      <c r="A72" s="105">
        <v>44394</v>
      </c>
      <c r="B72" s="97">
        <v>0</v>
      </c>
      <c r="C72" s="101"/>
      <c r="D72" s="97">
        <v>0</v>
      </c>
      <c r="F72" s="97">
        <v>0</v>
      </c>
      <c r="H72" s="97">
        <v>0</v>
      </c>
      <c r="J72" s="97">
        <v>0</v>
      </c>
      <c r="L72" s="121">
        <v>0</v>
      </c>
      <c r="N72" s="96">
        <v>0</v>
      </c>
    </row>
    <row r="73" spans="1:14" ht="12.75">
      <c r="A73" s="63">
        <v>44425</v>
      </c>
      <c r="B73" s="97">
        <v>0</v>
      </c>
      <c r="C73" s="101"/>
      <c r="D73" s="97">
        <v>0</v>
      </c>
      <c r="F73" s="97">
        <v>0</v>
      </c>
      <c r="H73" s="97">
        <v>0</v>
      </c>
      <c r="J73" s="97">
        <v>0</v>
      </c>
      <c r="L73" s="121">
        <v>0</v>
      </c>
      <c r="N73" s="96">
        <v>0</v>
      </c>
    </row>
    <row r="74" spans="1:14" ht="12.75">
      <c r="A74" s="63">
        <v>44456</v>
      </c>
      <c r="B74" s="97">
        <v>0</v>
      </c>
      <c r="C74" s="101"/>
      <c r="D74" s="97">
        <v>0</v>
      </c>
      <c r="F74" s="97">
        <v>0</v>
      </c>
      <c r="H74" s="97">
        <v>0</v>
      </c>
      <c r="J74" s="97">
        <v>0</v>
      </c>
      <c r="L74" s="121">
        <v>0</v>
      </c>
      <c r="N74" s="96">
        <v>0</v>
      </c>
    </row>
    <row r="75" spans="1:14" ht="12.75">
      <c r="A75" s="105">
        <v>44486</v>
      </c>
      <c r="B75" s="97">
        <v>0</v>
      </c>
      <c r="C75" s="101"/>
      <c r="D75" s="97">
        <v>0</v>
      </c>
      <c r="F75" s="97">
        <v>0</v>
      </c>
      <c r="H75" s="97">
        <v>0</v>
      </c>
      <c r="J75" s="97">
        <v>0</v>
      </c>
      <c r="L75" s="121">
        <v>0</v>
      </c>
      <c r="N75" s="96">
        <v>0</v>
      </c>
    </row>
    <row r="76" spans="1:14" ht="12.75">
      <c r="A76" s="63">
        <v>44517</v>
      </c>
      <c r="B76" s="97">
        <v>0</v>
      </c>
      <c r="C76" s="101"/>
      <c r="D76" s="97">
        <v>0</v>
      </c>
      <c r="F76" s="97">
        <v>0</v>
      </c>
      <c r="H76" s="97">
        <v>0</v>
      </c>
      <c r="J76" s="97">
        <v>0</v>
      </c>
      <c r="L76" s="121">
        <v>0</v>
      </c>
      <c r="N76" s="96">
        <v>0</v>
      </c>
    </row>
    <row r="77" spans="1:14" ht="12.75">
      <c r="A77" s="63">
        <v>44547</v>
      </c>
      <c r="B77" s="97">
        <v>0</v>
      </c>
      <c r="C77" s="101"/>
      <c r="D77" s="97">
        <v>0</v>
      </c>
      <c r="F77" s="97">
        <v>0</v>
      </c>
      <c r="H77" s="97">
        <v>0</v>
      </c>
      <c r="J77" s="97">
        <v>0</v>
      </c>
      <c r="L77" s="121">
        <v>0</v>
      </c>
      <c r="N77" s="96">
        <v>0</v>
      </c>
    </row>
    <row r="78" spans="1:14" ht="12.75">
      <c r="A78" s="105">
        <v>44578</v>
      </c>
      <c r="B78" s="97">
        <v>0</v>
      </c>
      <c r="C78" s="101"/>
      <c r="D78" s="97">
        <v>0</v>
      </c>
      <c r="F78" s="97">
        <v>0</v>
      </c>
      <c r="H78" s="97">
        <v>0</v>
      </c>
      <c r="J78" s="97">
        <v>0</v>
      </c>
      <c r="L78" s="121">
        <v>0</v>
      </c>
      <c r="N78" s="96">
        <v>0</v>
      </c>
    </row>
    <row r="79" spans="1:14" ht="12.75">
      <c r="A79" s="63">
        <v>44609</v>
      </c>
      <c r="B79" s="97">
        <v>0</v>
      </c>
      <c r="C79" s="101"/>
      <c r="D79" s="97">
        <v>0</v>
      </c>
      <c r="F79" s="97">
        <v>0</v>
      </c>
      <c r="H79" s="97">
        <v>0</v>
      </c>
      <c r="J79" s="97">
        <v>0</v>
      </c>
      <c r="L79" s="121">
        <v>0</v>
      </c>
      <c r="N79" s="96">
        <v>0</v>
      </c>
    </row>
    <row r="80" spans="1:14" ht="12.75">
      <c r="A80" s="63">
        <v>44637</v>
      </c>
      <c r="B80" s="97">
        <v>0</v>
      </c>
      <c r="C80" s="101"/>
      <c r="D80" s="97">
        <v>0</v>
      </c>
      <c r="F80" s="97">
        <v>0</v>
      </c>
      <c r="H80" s="97">
        <v>0</v>
      </c>
      <c r="J80" s="97">
        <v>0</v>
      </c>
      <c r="L80" s="121">
        <v>0</v>
      </c>
      <c r="N80" s="96">
        <v>0</v>
      </c>
    </row>
    <row r="81" spans="1:14" ht="12.75">
      <c r="A81" s="105">
        <v>44668</v>
      </c>
      <c r="B81" s="97">
        <v>0</v>
      </c>
      <c r="C81" s="101"/>
      <c r="D81" s="97">
        <v>0</v>
      </c>
      <c r="F81" s="97">
        <v>0</v>
      </c>
      <c r="H81" s="97">
        <v>0</v>
      </c>
      <c r="J81" s="97">
        <v>0</v>
      </c>
      <c r="L81" s="121">
        <v>0</v>
      </c>
      <c r="N81" s="96">
        <v>0</v>
      </c>
    </row>
    <row r="82" spans="1:14" ht="12.75">
      <c r="A82" s="63">
        <v>44698</v>
      </c>
      <c r="B82" s="97">
        <v>0</v>
      </c>
      <c r="C82" s="101"/>
      <c r="D82" s="97">
        <v>0</v>
      </c>
      <c r="F82" s="97">
        <v>0</v>
      </c>
      <c r="H82" s="97">
        <v>0</v>
      </c>
      <c r="J82" s="97">
        <v>0</v>
      </c>
      <c r="L82" s="121">
        <v>0</v>
      </c>
      <c r="N82" s="96">
        <v>0</v>
      </c>
    </row>
    <row r="83" spans="1:14" ht="12.75">
      <c r="A83" s="63">
        <v>44729</v>
      </c>
      <c r="B83" s="97">
        <v>0</v>
      </c>
      <c r="C83" s="101"/>
      <c r="D83" s="97">
        <v>0</v>
      </c>
      <c r="F83" s="97">
        <v>0</v>
      </c>
      <c r="H83" s="97">
        <v>0</v>
      </c>
      <c r="J83" s="97">
        <v>0</v>
      </c>
      <c r="L83" s="121">
        <v>0</v>
      </c>
      <c r="N83" s="96">
        <v>0</v>
      </c>
    </row>
    <row r="84" spans="1:14" ht="12.75">
      <c r="A84" s="105">
        <v>44759</v>
      </c>
      <c r="B84" s="97">
        <v>0</v>
      </c>
      <c r="C84" s="101"/>
      <c r="D84" s="97">
        <v>0</v>
      </c>
      <c r="F84" s="97">
        <v>0</v>
      </c>
      <c r="H84" s="97">
        <v>0</v>
      </c>
      <c r="J84" s="97">
        <v>0</v>
      </c>
      <c r="L84" s="121">
        <v>0</v>
      </c>
      <c r="N84" s="96">
        <v>0</v>
      </c>
    </row>
    <row r="85" spans="1:14" ht="12.75">
      <c r="A85" s="63">
        <v>44790</v>
      </c>
      <c r="B85" s="97">
        <v>0</v>
      </c>
      <c r="C85" s="101"/>
      <c r="D85" s="97">
        <v>0</v>
      </c>
      <c r="F85" s="97">
        <v>0</v>
      </c>
      <c r="H85" s="97">
        <v>0</v>
      </c>
      <c r="J85" s="97">
        <v>0</v>
      </c>
      <c r="L85" s="121">
        <v>0</v>
      </c>
      <c r="N85" s="96">
        <v>0</v>
      </c>
    </row>
    <row r="86" spans="1:14" ht="12.75">
      <c r="A86" s="63">
        <v>44821</v>
      </c>
      <c r="B86" s="97">
        <v>0</v>
      </c>
      <c r="C86" s="101"/>
      <c r="D86" s="97">
        <v>0</v>
      </c>
      <c r="F86" s="97">
        <v>0</v>
      </c>
      <c r="H86" s="97">
        <v>0</v>
      </c>
      <c r="J86" s="97">
        <v>0</v>
      </c>
      <c r="L86" s="121">
        <v>0</v>
      </c>
      <c r="N86" s="96">
        <v>0</v>
      </c>
    </row>
    <row r="87" spans="1:14" ht="12.75">
      <c r="A87" s="105">
        <v>44851</v>
      </c>
      <c r="B87" s="97">
        <v>0</v>
      </c>
      <c r="C87" s="101"/>
      <c r="D87" s="97">
        <v>0</v>
      </c>
      <c r="F87" s="97">
        <v>0</v>
      </c>
      <c r="H87" s="97">
        <v>0</v>
      </c>
      <c r="J87" s="97">
        <v>0</v>
      </c>
      <c r="L87" s="121">
        <v>0</v>
      </c>
      <c r="N87" s="96">
        <v>0</v>
      </c>
    </row>
    <row r="88" spans="1:14" ht="12.75">
      <c r="A88" s="63">
        <v>44882</v>
      </c>
      <c r="B88" s="97">
        <v>0</v>
      </c>
      <c r="C88" s="101"/>
      <c r="D88" s="97">
        <v>0</v>
      </c>
      <c r="F88" s="97">
        <v>0</v>
      </c>
      <c r="H88" s="97">
        <v>0</v>
      </c>
      <c r="J88" s="97">
        <v>0</v>
      </c>
      <c r="L88" s="121">
        <v>0</v>
      </c>
      <c r="N88" s="96">
        <v>0</v>
      </c>
    </row>
    <row r="89" spans="1:14" ht="12.75">
      <c r="A89" s="63">
        <v>44912</v>
      </c>
      <c r="B89" s="97">
        <v>0</v>
      </c>
      <c r="C89" s="101"/>
      <c r="D89" s="97">
        <v>0</v>
      </c>
      <c r="F89" s="97">
        <v>0</v>
      </c>
      <c r="H89" s="97">
        <v>0</v>
      </c>
      <c r="J89" s="97">
        <v>0</v>
      </c>
      <c r="L89" s="121">
        <v>0</v>
      </c>
      <c r="N89" s="96">
        <v>0</v>
      </c>
    </row>
    <row r="90" spans="1:14" ht="12.75">
      <c r="A90" s="105">
        <v>44943</v>
      </c>
      <c r="B90" s="97">
        <v>0</v>
      </c>
      <c r="C90" s="101"/>
      <c r="D90" s="97">
        <v>0</v>
      </c>
      <c r="F90" s="97">
        <v>0</v>
      </c>
      <c r="H90" s="97">
        <v>0</v>
      </c>
      <c r="J90" s="97">
        <v>0</v>
      </c>
      <c r="L90" s="121">
        <v>0</v>
      </c>
      <c r="N90" s="96">
        <v>0</v>
      </c>
    </row>
    <row r="91" spans="1:14" ht="12.75">
      <c r="A91" s="63">
        <v>44974</v>
      </c>
      <c r="B91" s="97">
        <v>0</v>
      </c>
      <c r="C91" s="101"/>
      <c r="D91" s="97">
        <v>0</v>
      </c>
      <c r="F91" s="97">
        <v>0</v>
      </c>
      <c r="H91" s="97">
        <v>0</v>
      </c>
      <c r="J91" s="97">
        <v>0</v>
      </c>
      <c r="L91" s="121">
        <v>0</v>
      </c>
      <c r="N91" s="96">
        <v>0</v>
      </c>
    </row>
    <row r="92" spans="1:14" ht="12.75">
      <c r="A92" s="63">
        <v>45002</v>
      </c>
      <c r="B92" s="97">
        <v>0</v>
      </c>
      <c r="C92" s="101"/>
      <c r="D92" s="97">
        <v>0</v>
      </c>
      <c r="F92" s="97">
        <v>0</v>
      </c>
      <c r="H92" s="97">
        <v>0</v>
      </c>
      <c r="J92" s="97">
        <v>0</v>
      </c>
      <c r="L92" s="121">
        <v>0</v>
      </c>
      <c r="N92" s="96">
        <v>0</v>
      </c>
    </row>
    <row r="93" spans="1:14" ht="12.75">
      <c r="A93" s="105">
        <v>45033</v>
      </c>
      <c r="B93" s="97">
        <v>0</v>
      </c>
      <c r="C93" s="101"/>
      <c r="D93" s="97">
        <v>0</v>
      </c>
      <c r="F93" s="97">
        <v>0</v>
      </c>
      <c r="H93" s="97">
        <v>0</v>
      </c>
      <c r="J93" s="97">
        <v>0</v>
      </c>
      <c r="L93" s="121">
        <v>0</v>
      </c>
      <c r="N93" s="96">
        <v>0</v>
      </c>
    </row>
    <row r="94" spans="1:14" ht="12.75">
      <c r="A94" s="63">
        <v>45063</v>
      </c>
      <c r="B94" s="97">
        <v>0</v>
      </c>
      <c r="C94" s="101"/>
      <c r="D94" s="97">
        <v>0</v>
      </c>
      <c r="F94" s="97">
        <v>0</v>
      </c>
      <c r="H94" s="97">
        <v>0</v>
      </c>
      <c r="J94" s="97">
        <v>0</v>
      </c>
      <c r="L94" s="121">
        <v>0</v>
      </c>
      <c r="N94" s="96">
        <v>0</v>
      </c>
    </row>
    <row r="95" spans="1:14" ht="12.75">
      <c r="A95" s="63">
        <v>45094</v>
      </c>
      <c r="B95" s="97">
        <v>0</v>
      </c>
      <c r="C95" s="101"/>
      <c r="D95" s="97">
        <v>0</v>
      </c>
      <c r="F95" s="97">
        <v>0</v>
      </c>
      <c r="H95" s="97">
        <v>0</v>
      </c>
      <c r="J95" s="97">
        <v>0</v>
      </c>
      <c r="L95" s="121">
        <v>0</v>
      </c>
      <c r="N95" s="96">
        <v>0</v>
      </c>
    </row>
    <row r="96" spans="1:14" ht="12.75">
      <c r="A96" s="105">
        <v>45124</v>
      </c>
      <c r="B96" s="97">
        <v>0</v>
      </c>
      <c r="C96" s="101"/>
      <c r="D96" s="97">
        <v>0</v>
      </c>
      <c r="F96" s="97">
        <v>0</v>
      </c>
      <c r="H96" s="97">
        <v>0</v>
      </c>
      <c r="J96" s="97">
        <v>0</v>
      </c>
      <c r="L96" s="121">
        <v>0</v>
      </c>
      <c r="N96" s="96">
        <v>0</v>
      </c>
    </row>
    <row r="97" spans="1:14" ht="12.75">
      <c r="A97" s="63">
        <v>45155</v>
      </c>
      <c r="B97" s="97">
        <v>0</v>
      </c>
      <c r="C97" s="101"/>
      <c r="D97" s="97">
        <v>0</v>
      </c>
      <c r="F97" s="97">
        <v>0</v>
      </c>
      <c r="H97" s="97">
        <v>0</v>
      </c>
      <c r="J97" s="97">
        <v>0</v>
      </c>
      <c r="L97" s="121">
        <v>0</v>
      </c>
      <c r="N97" s="96">
        <v>0</v>
      </c>
    </row>
    <row r="98" spans="1:14" ht="12.75">
      <c r="A98" s="63">
        <v>45186</v>
      </c>
      <c r="B98" s="97">
        <v>0</v>
      </c>
      <c r="C98" s="101"/>
      <c r="D98" s="97">
        <v>0</v>
      </c>
      <c r="F98" s="97">
        <v>0</v>
      </c>
      <c r="H98" s="97">
        <v>0</v>
      </c>
      <c r="J98" s="97">
        <v>0</v>
      </c>
      <c r="L98" s="121">
        <v>0</v>
      </c>
      <c r="N98" s="96">
        <v>0</v>
      </c>
    </row>
    <row r="99" spans="1:14" ht="12.75">
      <c r="A99" s="105">
        <v>45216</v>
      </c>
      <c r="B99" s="97">
        <v>0</v>
      </c>
      <c r="C99" s="101"/>
      <c r="D99" s="97">
        <v>0</v>
      </c>
      <c r="F99" s="97">
        <v>0</v>
      </c>
      <c r="H99" s="97">
        <v>0</v>
      </c>
      <c r="J99" s="97">
        <v>0</v>
      </c>
      <c r="L99" s="121">
        <v>0</v>
      </c>
      <c r="N99" s="96">
        <v>0</v>
      </c>
    </row>
    <row r="100" spans="1:14" ht="12.75">
      <c r="A100" s="63">
        <v>45247</v>
      </c>
      <c r="B100" s="97">
        <v>0</v>
      </c>
      <c r="C100" s="101"/>
      <c r="D100" s="97">
        <v>0</v>
      </c>
      <c r="F100" s="97">
        <v>0</v>
      </c>
      <c r="H100" s="97">
        <v>0</v>
      </c>
      <c r="J100" s="97">
        <v>0</v>
      </c>
      <c r="L100" s="121">
        <v>0</v>
      </c>
      <c r="N100" s="96">
        <v>0</v>
      </c>
    </row>
    <row r="101" spans="1:14" ht="12.75">
      <c r="A101" s="63">
        <v>45277</v>
      </c>
      <c r="B101" s="97">
        <v>0</v>
      </c>
      <c r="C101" s="101"/>
      <c r="D101" s="97">
        <v>0</v>
      </c>
      <c r="F101" s="97">
        <v>0</v>
      </c>
      <c r="H101" s="97">
        <v>0</v>
      </c>
      <c r="J101" s="97">
        <v>0</v>
      </c>
      <c r="L101" s="121">
        <v>0</v>
      </c>
      <c r="N101" s="96">
        <v>0</v>
      </c>
    </row>
    <row r="102" spans="1:14" ht="12.75">
      <c r="A102" s="105">
        <v>45308</v>
      </c>
      <c r="B102" s="97">
        <v>0</v>
      </c>
      <c r="C102" s="101"/>
      <c r="D102" s="97">
        <v>0</v>
      </c>
      <c r="F102" s="97">
        <v>0</v>
      </c>
      <c r="H102" s="97">
        <v>0</v>
      </c>
      <c r="J102" s="97">
        <v>0</v>
      </c>
      <c r="L102" s="121">
        <v>0</v>
      </c>
      <c r="N102" s="96">
        <v>0</v>
      </c>
    </row>
    <row r="103" spans="1:14" ht="12.75">
      <c r="A103" s="63">
        <v>45339</v>
      </c>
      <c r="B103" s="97">
        <v>0</v>
      </c>
      <c r="C103" s="101"/>
      <c r="D103" s="97">
        <v>0</v>
      </c>
      <c r="F103" s="97">
        <v>0</v>
      </c>
      <c r="H103" s="97">
        <v>0</v>
      </c>
      <c r="J103" s="97">
        <v>0</v>
      </c>
      <c r="L103" s="121">
        <v>0</v>
      </c>
      <c r="N103" s="96">
        <v>0</v>
      </c>
    </row>
    <row r="104" spans="1:14" ht="12.75">
      <c r="A104" s="63">
        <v>45368</v>
      </c>
      <c r="B104" s="97">
        <v>0</v>
      </c>
      <c r="C104" s="101"/>
      <c r="D104" s="97">
        <v>0</v>
      </c>
      <c r="F104" s="97">
        <v>0</v>
      </c>
      <c r="H104" s="97">
        <v>0</v>
      </c>
      <c r="J104" s="97">
        <v>0</v>
      </c>
      <c r="L104" s="121">
        <v>0</v>
      </c>
      <c r="N104" s="96">
        <v>0</v>
      </c>
    </row>
    <row r="105" spans="1:14" ht="12.75">
      <c r="A105" s="105">
        <v>45399</v>
      </c>
      <c r="B105" s="97">
        <v>0</v>
      </c>
      <c r="C105" s="101"/>
      <c r="D105" s="97">
        <v>0</v>
      </c>
      <c r="F105" s="97">
        <v>0</v>
      </c>
      <c r="H105" s="97">
        <v>0</v>
      </c>
      <c r="J105" s="97">
        <v>0</v>
      </c>
      <c r="L105" s="121">
        <v>0</v>
      </c>
      <c r="N105" s="96">
        <v>0</v>
      </c>
    </row>
    <row r="106" spans="1:14" ht="12.75">
      <c r="A106" s="63">
        <v>45429</v>
      </c>
      <c r="B106" s="97">
        <v>0</v>
      </c>
      <c r="C106" s="101"/>
      <c r="D106" s="97">
        <v>0</v>
      </c>
      <c r="F106" s="97">
        <v>0</v>
      </c>
      <c r="H106" s="97">
        <v>0</v>
      </c>
      <c r="J106" s="97">
        <v>0</v>
      </c>
      <c r="L106" s="121">
        <v>0</v>
      </c>
      <c r="N106" s="96">
        <v>0</v>
      </c>
    </row>
    <row r="107" spans="1:14" ht="12.75">
      <c r="A107" s="63">
        <v>45460</v>
      </c>
      <c r="B107" s="97">
        <v>0</v>
      </c>
      <c r="C107" s="101"/>
      <c r="D107" s="97">
        <v>0</v>
      </c>
      <c r="F107" s="97">
        <v>0</v>
      </c>
      <c r="H107" s="97">
        <v>0</v>
      </c>
      <c r="J107" s="97">
        <v>0</v>
      </c>
      <c r="L107" s="121">
        <v>0</v>
      </c>
      <c r="N107" s="96">
        <v>0</v>
      </c>
    </row>
    <row r="108" spans="1:14" ht="12.75">
      <c r="A108" s="105">
        <v>45490</v>
      </c>
      <c r="B108" s="97">
        <v>0</v>
      </c>
      <c r="C108" s="101"/>
      <c r="D108" s="97">
        <v>0</v>
      </c>
      <c r="F108" s="97">
        <v>0</v>
      </c>
      <c r="H108" s="97">
        <v>0</v>
      </c>
      <c r="J108" s="97">
        <v>0</v>
      </c>
      <c r="L108" s="121">
        <v>0</v>
      </c>
      <c r="N108" s="96">
        <v>0</v>
      </c>
    </row>
    <row r="109" spans="1:14" ht="12.75">
      <c r="A109" s="63">
        <v>45521</v>
      </c>
      <c r="B109" s="97">
        <v>0</v>
      </c>
      <c r="C109" s="101"/>
      <c r="D109" s="97">
        <v>0</v>
      </c>
      <c r="F109" s="97">
        <v>0</v>
      </c>
      <c r="H109" s="97">
        <v>0</v>
      </c>
      <c r="J109" s="97">
        <v>0</v>
      </c>
      <c r="L109" s="121">
        <v>0</v>
      </c>
      <c r="N109" s="96">
        <v>0</v>
      </c>
    </row>
    <row r="110" spans="1:14" ht="12.75">
      <c r="A110" s="63">
        <v>45552</v>
      </c>
      <c r="B110" s="97">
        <v>0</v>
      </c>
      <c r="C110" s="101"/>
      <c r="D110" s="97">
        <v>0</v>
      </c>
      <c r="F110" s="97">
        <v>0</v>
      </c>
      <c r="H110" s="97">
        <v>0</v>
      </c>
      <c r="J110" s="97">
        <v>0</v>
      </c>
      <c r="L110" s="121">
        <v>0</v>
      </c>
      <c r="N110" s="96">
        <v>0</v>
      </c>
    </row>
    <row r="111" spans="1:14" ht="12.75">
      <c r="A111" s="105">
        <v>45582</v>
      </c>
      <c r="B111" s="97">
        <v>0</v>
      </c>
      <c r="C111" s="101"/>
      <c r="D111" s="97">
        <v>0</v>
      </c>
      <c r="F111" s="97">
        <v>0</v>
      </c>
      <c r="H111" s="97">
        <v>0</v>
      </c>
      <c r="J111" s="97">
        <v>0</v>
      </c>
      <c r="L111" s="121">
        <v>0</v>
      </c>
      <c r="N111" s="96">
        <v>0</v>
      </c>
    </row>
    <row r="112" spans="1:14" ht="12.75">
      <c r="A112" s="63">
        <v>45613</v>
      </c>
      <c r="B112" s="97">
        <v>0</v>
      </c>
      <c r="C112" s="101"/>
      <c r="D112" s="97">
        <v>0</v>
      </c>
      <c r="F112" s="97">
        <v>0</v>
      </c>
      <c r="H112" s="97">
        <v>0</v>
      </c>
      <c r="J112" s="97">
        <v>0</v>
      </c>
      <c r="L112" s="121">
        <v>0</v>
      </c>
      <c r="N112" s="96">
        <v>0</v>
      </c>
    </row>
    <row r="113" spans="1:14" ht="12.75">
      <c r="A113" s="63">
        <v>45643</v>
      </c>
      <c r="B113" s="97">
        <v>0</v>
      </c>
      <c r="C113" s="101"/>
      <c r="D113" s="97">
        <v>0</v>
      </c>
      <c r="F113" s="97">
        <v>0</v>
      </c>
      <c r="H113" s="97">
        <v>0</v>
      </c>
      <c r="J113" s="97">
        <v>0</v>
      </c>
      <c r="L113" s="121">
        <v>0</v>
      </c>
      <c r="N113" s="96">
        <v>0</v>
      </c>
    </row>
    <row r="114" spans="1:14" ht="12.75">
      <c r="A114" s="105">
        <v>45674</v>
      </c>
      <c r="B114" s="97">
        <v>0</v>
      </c>
      <c r="C114" s="101"/>
      <c r="D114" s="97">
        <v>0</v>
      </c>
      <c r="F114" s="97">
        <v>0</v>
      </c>
      <c r="H114" s="97">
        <v>0</v>
      </c>
      <c r="J114" s="97">
        <v>0</v>
      </c>
      <c r="L114" s="121">
        <v>0</v>
      </c>
      <c r="N114" s="96">
        <v>0</v>
      </c>
    </row>
    <row r="115" spans="1:14" ht="12.75">
      <c r="A115" s="63">
        <v>45705</v>
      </c>
      <c r="B115" s="97">
        <v>0</v>
      </c>
      <c r="C115" s="101"/>
      <c r="D115" s="97">
        <v>0</v>
      </c>
      <c r="F115" s="97">
        <v>0</v>
      </c>
      <c r="H115" s="97">
        <v>0</v>
      </c>
      <c r="J115" s="97">
        <v>0</v>
      </c>
      <c r="L115" s="121">
        <v>0</v>
      </c>
      <c r="N115" s="96">
        <v>0</v>
      </c>
    </row>
    <row r="116" spans="1:14" ht="12.75">
      <c r="A116" s="63">
        <v>45733</v>
      </c>
      <c r="B116" s="97">
        <v>0</v>
      </c>
      <c r="C116" s="101"/>
      <c r="D116" s="97">
        <v>0</v>
      </c>
      <c r="F116" s="97">
        <v>0</v>
      </c>
      <c r="H116" s="97">
        <v>0</v>
      </c>
      <c r="J116" s="97">
        <v>0</v>
      </c>
      <c r="L116" s="121">
        <v>0</v>
      </c>
      <c r="N116" s="96">
        <v>0</v>
      </c>
    </row>
    <row r="117" spans="1:14" ht="12.75">
      <c r="A117" s="105">
        <v>45764</v>
      </c>
      <c r="B117" s="97">
        <v>0</v>
      </c>
      <c r="C117" s="101"/>
      <c r="D117" s="97">
        <v>0</v>
      </c>
      <c r="F117" s="97">
        <v>0</v>
      </c>
      <c r="H117" s="97">
        <v>0</v>
      </c>
      <c r="J117" s="97">
        <v>0</v>
      </c>
      <c r="L117" s="121">
        <v>0</v>
      </c>
      <c r="N117" s="96">
        <v>0</v>
      </c>
    </row>
    <row r="118" spans="1:14" ht="12.75">
      <c r="A118" s="63">
        <v>45794</v>
      </c>
      <c r="B118" s="97">
        <v>0</v>
      </c>
      <c r="C118" s="101"/>
      <c r="D118" s="97">
        <v>0</v>
      </c>
      <c r="F118" s="97">
        <v>0</v>
      </c>
      <c r="H118" s="97">
        <v>0</v>
      </c>
      <c r="J118" s="97">
        <v>0</v>
      </c>
      <c r="L118" s="121">
        <v>0</v>
      </c>
      <c r="N118" s="96">
        <v>0</v>
      </c>
    </row>
    <row r="119" spans="1:14" ht="12.75">
      <c r="A119" s="63">
        <v>45825</v>
      </c>
      <c r="B119" s="97">
        <v>0</v>
      </c>
      <c r="C119" s="101"/>
      <c r="D119" s="97">
        <v>0</v>
      </c>
      <c r="F119" s="97">
        <v>0</v>
      </c>
      <c r="H119" s="97">
        <v>0</v>
      </c>
      <c r="J119" s="97">
        <v>0</v>
      </c>
      <c r="L119" s="121">
        <v>0</v>
      </c>
      <c r="N119" s="96">
        <v>0</v>
      </c>
    </row>
    <row r="120" spans="1:14" ht="12.75">
      <c r="A120" s="105">
        <v>45855</v>
      </c>
      <c r="B120" s="97">
        <v>0</v>
      </c>
      <c r="C120" s="101"/>
      <c r="D120" s="97">
        <v>0</v>
      </c>
      <c r="F120" s="97">
        <v>0</v>
      </c>
      <c r="H120" s="97">
        <v>0</v>
      </c>
      <c r="J120" s="97">
        <v>0</v>
      </c>
      <c r="L120" s="121">
        <v>0</v>
      </c>
      <c r="N120" s="96">
        <v>0</v>
      </c>
    </row>
    <row r="121" spans="1:14" ht="12.75">
      <c r="A121" s="63">
        <v>45886</v>
      </c>
      <c r="B121" s="97">
        <v>0</v>
      </c>
      <c r="C121" s="101"/>
      <c r="D121" s="97">
        <v>0</v>
      </c>
      <c r="F121" s="97">
        <v>0</v>
      </c>
      <c r="H121" s="97">
        <v>0</v>
      </c>
      <c r="J121" s="97">
        <v>0</v>
      </c>
      <c r="L121" s="121">
        <v>0</v>
      </c>
      <c r="N121" s="96">
        <v>0</v>
      </c>
    </row>
    <row r="122" spans="1:14" ht="12.75">
      <c r="A122" s="63">
        <v>45917</v>
      </c>
      <c r="B122" s="97">
        <v>0</v>
      </c>
      <c r="C122" s="101"/>
      <c r="D122" s="97">
        <v>0</v>
      </c>
      <c r="F122" s="97">
        <v>0</v>
      </c>
      <c r="H122" s="97">
        <v>0</v>
      </c>
      <c r="J122" s="97">
        <v>0</v>
      </c>
      <c r="L122" s="121">
        <v>0</v>
      </c>
      <c r="N122" s="96">
        <v>0</v>
      </c>
    </row>
    <row r="123" spans="1:14" ht="12.75">
      <c r="A123" s="105">
        <v>45947</v>
      </c>
      <c r="B123" s="97">
        <v>0</v>
      </c>
      <c r="C123" s="101"/>
      <c r="D123" s="97">
        <v>0</v>
      </c>
      <c r="F123" s="97">
        <v>0</v>
      </c>
      <c r="H123" s="97">
        <v>0</v>
      </c>
      <c r="J123" s="97">
        <v>0</v>
      </c>
      <c r="L123" s="121">
        <v>0</v>
      </c>
      <c r="N123" s="96">
        <v>0</v>
      </c>
    </row>
    <row r="124" spans="1:14" ht="12.75">
      <c r="A124" s="63">
        <v>45978</v>
      </c>
      <c r="B124" s="97">
        <v>0</v>
      </c>
      <c r="C124" s="101"/>
      <c r="D124" s="97">
        <v>0</v>
      </c>
      <c r="F124" s="97">
        <v>0</v>
      </c>
      <c r="H124" s="97">
        <v>0</v>
      </c>
      <c r="J124" s="97">
        <v>0</v>
      </c>
      <c r="L124" s="121">
        <v>0</v>
      </c>
      <c r="N124" s="96">
        <v>0</v>
      </c>
    </row>
    <row r="125" spans="1:14" ht="12.75">
      <c r="A125" s="63">
        <v>46008</v>
      </c>
      <c r="B125" s="97">
        <v>0</v>
      </c>
      <c r="C125" s="101"/>
      <c r="D125" s="97">
        <v>0</v>
      </c>
      <c r="F125" s="97">
        <v>0</v>
      </c>
      <c r="H125" s="97">
        <v>0</v>
      </c>
      <c r="J125" s="97">
        <v>0</v>
      </c>
      <c r="L125" s="121">
        <v>0</v>
      </c>
      <c r="N125" s="96">
        <v>0</v>
      </c>
    </row>
    <row r="126" spans="1:14" ht="12.75">
      <c r="A126" s="105">
        <v>46039</v>
      </c>
      <c r="B126" s="97">
        <v>0</v>
      </c>
      <c r="C126" s="101"/>
      <c r="D126" s="97">
        <v>0</v>
      </c>
      <c r="F126" s="97">
        <v>0</v>
      </c>
      <c r="H126" s="97">
        <v>0</v>
      </c>
      <c r="J126" s="97">
        <v>0</v>
      </c>
      <c r="L126" s="121">
        <v>0</v>
      </c>
      <c r="N126" s="96">
        <v>0</v>
      </c>
    </row>
    <row r="127" spans="1:14" ht="12.75">
      <c r="A127" s="63">
        <v>46070</v>
      </c>
      <c r="B127" s="97">
        <v>0</v>
      </c>
      <c r="C127" s="101"/>
      <c r="D127" s="97">
        <v>0</v>
      </c>
      <c r="F127" s="97">
        <v>0</v>
      </c>
      <c r="H127" s="97">
        <v>0</v>
      </c>
      <c r="J127" s="97">
        <v>0</v>
      </c>
      <c r="L127" s="121">
        <v>0</v>
      </c>
      <c r="N127" s="96">
        <v>0</v>
      </c>
    </row>
    <row r="128" spans="1:14" ht="12.75">
      <c r="A128" s="63">
        <v>46098</v>
      </c>
      <c r="B128" s="97">
        <v>0</v>
      </c>
      <c r="C128" s="101"/>
      <c r="D128" s="97">
        <v>0</v>
      </c>
      <c r="F128" s="97">
        <v>0</v>
      </c>
      <c r="H128" s="97">
        <v>0</v>
      </c>
      <c r="J128" s="97">
        <v>0</v>
      </c>
      <c r="L128" s="121">
        <v>0</v>
      </c>
      <c r="N128" s="96">
        <v>0</v>
      </c>
    </row>
    <row r="129" spans="1:14" ht="12.75">
      <c r="A129" s="105">
        <v>46129</v>
      </c>
      <c r="B129" s="97">
        <v>0</v>
      </c>
      <c r="C129" s="101"/>
      <c r="D129" s="97">
        <v>0</v>
      </c>
      <c r="F129" s="97">
        <v>0</v>
      </c>
      <c r="H129" s="97">
        <v>0</v>
      </c>
      <c r="J129" s="97">
        <v>0</v>
      </c>
      <c r="L129" s="121">
        <v>0</v>
      </c>
      <c r="N129" s="96">
        <v>0</v>
      </c>
    </row>
    <row r="130" spans="1:14" ht="12.75">
      <c r="A130" s="63">
        <v>46159</v>
      </c>
      <c r="B130" s="97">
        <v>0</v>
      </c>
      <c r="C130" s="101"/>
      <c r="D130" s="97">
        <v>0</v>
      </c>
      <c r="F130" s="97">
        <v>0</v>
      </c>
      <c r="H130" s="97">
        <v>0</v>
      </c>
      <c r="J130" s="97">
        <v>0</v>
      </c>
      <c r="L130" s="121">
        <v>0</v>
      </c>
      <c r="N130" s="96">
        <v>0</v>
      </c>
    </row>
    <row r="131" spans="1:14" ht="12.75">
      <c r="A131" s="63">
        <v>46190</v>
      </c>
      <c r="B131" s="97">
        <v>0</v>
      </c>
      <c r="C131" s="101"/>
      <c r="D131" s="97">
        <v>0</v>
      </c>
      <c r="F131" s="97">
        <v>0</v>
      </c>
      <c r="H131" s="97">
        <v>0</v>
      </c>
      <c r="J131" s="97">
        <v>0</v>
      </c>
      <c r="L131" s="121">
        <v>0</v>
      </c>
      <c r="N131" s="96">
        <v>0</v>
      </c>
    </row>
    <row r="132" spans="1:14" ht="12.75">
      <c r="A132" s="105">
        <v>46220</v>
      </c>
      <c r="B132" s="97">
        <v>0</v>
      </c>
      <c r="C132" s="101"/>
      <c r="D132" s="97">
        <v>0</v>
      </c>
      <c r="F132" s="97">
        <v>0</v>
      </c>
      <c r="H132" s="97">
        <v>0</v>
      </c>
      <c r="J132" s="97">
        <v>0</v>
      </c>
      <c r="L132" s="121">
        <v>0</v>
      </c>
      <c r="N132" s="96">
        <v>0</v>
      </c>
    </row>
    <row r="133" spans="1:14" ht="12.75">
      <c r="A133" s="63">
        <v>46251</v>
      </c>
      <c r="B133" s="97">
        <v>0</v>
      </c>
      <c r="C133" s="101"/>
      <c r="D133" s="97">
        <v>0</v>
      </c>
      <c r="F133" s="97">
        <v>0</v>
      </c>
      <c r="H133" s="97">
        <v>0</v>
      </c>
      <c r="J133" s="97">
        <v>0</v>
      </c>
      <c r="L133" s="121">
        <v>0</v>
      </c>
      <c r="N133" s="96">
        <v>0</v>
      </c>
    </row>
    <row r="134" spans="1:14" ht="12.75">
      <c r="A134" s="63">
        <v>46282</v>
      </c>
      <c r="B134" s="97">
        <v>0</v>
      </c>
      <c r="C134" s="101"/>
      <c r="D134" s="97">
        <v>0</v>
      </c>
      <c r="F134" s="97">
        <v>0</v>
      </c>
      <c r="H134" s="97">
        <v>0</v>
      </c>
      <c r="J134" s="97">
        <v>0</v>
      </c>
      <c r="L134" s="121">
        <v>0</v>
      </c>
      <c r="N134" s="96">
        <v>0</v>
      </c>
    </row>
    <row r="135" spans="1:14" ht="12.75">
      <c r="A135" s="105">
        <v>46312</v>
      </c>
      <c r="B135" s="97">
        <v>0</v>
      </c>
      <c r="C135" s="101"/>
      <c r="D135" s="97">
        <v>0</v>
      </c>
      <c r="F135" s="97">
        <v>0</v>
      </c>
      <c r="H135" s="97">
        <v>0</v>
      </c>
      <c r="J135" s="97">
        <v>0</v>
      </c>
      <c r="L135" s="121">
        <v>0</v>
      </c>
      <c r="N135" s="96">
        <v>0</v>
      </c>
    </row>
    <row r="136" spans="1:14" ht="12.75">
      <c r="A136" s="63">
        <v>46343</v>
      </c>
      <c r="B136" s="97">
        <v>0</v>
      </c>
      <c r="C136" s="101"/>
      <c r="D136" s="97">
        <v>0</v>
      </c>
      <c r="F136" s="97">
        <v>0</v>
      </c>
      <c r="H136" s="97">
        <v>0</v>
      </c>
      <c r="J136" s="97">
        <v>0</v>
      </c>
      <c r="L136" s="121">
        <v>0</v>
      </c>
      <c r="N136" s="96">
        <v>0</v>
      </c>
    </row>
    <row r="137" spans="1:14" ht="12.75">
      <c r="A137" s="63">
        <v>46373</v>
      </c>
      <c r="B137" s="97">
        <v>0</v>
      </c>
      <c r="C137" s="101"/>
      <c r="D137" s="97">
        <v>0</v>
      </c>
      <c r="F137" s="97">
        <v>0</v>
      </c>
      <c r="H137" s="97">
        <v>0</v>
      </c>
      <c r="J137" s="97">
        <v>0</v>
      </c>
      <c r="L137" s="121">
        <v>0</v>
      </c>
      <c r="N137" s="96">
        <v>0</v>
      </c>
    </row>
    <row r="138" spans="1:14" ht="12.75">
      <c r="A138" s="105">
        <v>46404</v>
      </c>
      <c r="B138" s="97">
        <v>0</v>
      </c>
      <c r="C138" s="101"/>
      <c r="D138" s="97">
        <v>0</v>
      </c>
      <c r="F138" s="97">
        <v>0</v>
      </c>
      <c r="H138" s="97">
        <v>0</v>
      </c>
      <c r="J138" s="97">
        <v>0</v>
      </c>
      <c r="L138" s="121">
        <v>0</v>
      </c>
      <c r="N138" s="96">
        <v>0</v>
      </c>
    </row>
    <row r="139" spans="1:14" ht="12.75">
      <c r="A139" s="63">
        <v>46435</v>
      </c>
      <c r="B139" s="97">
        <v>0</v>
      </c>
      <c r="C139" s="101"/>
      <c r="D139" s="97">
        <v>0</v>
      </c>
      <c r="F139" s="97">
        <v>0</v>
      </c>
      <c r="H139" s="97">
        <v>0</v>
      </c>
      <c r="J139" s="97">
        <v>0</v>
      </c>
      <c r="L139" s="121">
        <v>0</v>
      </c>
      <c r="N139" s="96">
        <v>0</v>
      </c>
    </row>
    <row r="140" spans="1:14" ht="12.75">
      <c r="A140" s="63">
        <v>46463</v>
      </c>
      <c r="B140" s="97">
        <v>0</v>
      </c>
      <c r="C140" s="101"/>
      <c r="D140" s="97">
        <v>0</v>
      </c>
      <c r="F140" s="97">
        <v>0</v>
      </c>
      <c r="H140" s="97">
        <v>0</v>
      </c>
      <c r="J140" s="97">
        <v>0</v>
      </c>
      <c r="L140" s="121">
        <v>0</v>
      </c>
      <c r="N140" s="96">
        <v>0</v>
      </c>
    </row>
    <row r="141" spans="1:14" ht="12.75">
      <c r="A141" s="105">
        <v>46494</v>
      </c>
      <c r="B141" s="97">
        <v>0</v>
      </c>
      <c r="C141" s="101"/>
      <c r="D141" s="97">
        <v>0</v>
      </c>
      <c r="F141" s="97">
        <v>0</v>
      </c>
      <c r="H141" s="97">
        <v>0</v>
      </c>
      <c r="J141" s="97">
        <v>0</v>
      </c>
      <c r="L141" s="121">
        <v>0</v>
      </c>
      <c r="N141" s="96">
        <v>0</v>
      </c>
    </row>
    <row r="142" spans="1:14" ht="12.75">
      <c r="A142" s="63">
        <v>46524</v>
      </c>
      <c r="B142" s="97">
        <v>0</v>
      </c>
      <c r="C142" s="101"/>
      <c r="D142" s="97">
        <v>0</v>
      </c>
      <c r="F142" s="97">
        <v>0</v>
      </c>
      <c r="H142" s="97">
        <v>0</v>
      </c>
      <c r="J142" s="97">
        <v>0</v>
      </c>
      <c r="L142" s="121">
        <v>0</v>
      </c>
      <c r="N142" s="96">
        <v>0</v>
      </c>
    </row>
    <row r="143" spans="1:14" ht="12.75">
      <c r="A143" s="63">
        <v>46555</v>
      </c>
      <c r="B143" s="97">
        <v>0</v>
      </c>
      <c r="C143" s="101"/>
      <c r="D143" s="97">
        <v>0</v>
      </c>
      <c r="F143" s="97">
        <v>0</v>
      </c>
      <c r="H143" s="97">
        <v>0</v>
      </c>
      <c r="J143" s="97">
        <v>0</v>
      </c>
      <c r="L143" s="121">
        <v>0</v>
      </c>
      <c r="N143" s="96">
        <v>0</v>
      </c>
    </row>
    <row r="144" spans="1:14" ht="12.75">
      <c r="A144" s="105">
        <v>46585</v>
      </c>
      <c r="B144" s="97">
        <v>0</v>
      </c>
      <c r="C144" s="101"/>
      <c r="D144" s="97">
        <v>0</v>
      </c>
      <c r="F144" s="97">
        <v>0</v>
      </c>
      <c r="H144" s="97">
        <v>0</v>
      </c>
      <c r="J144" s="97">
        <v>0</v>
      </c>
      <c r="L144" s="121">
        <v>0</v>
      </c>
      <c r="N144" s="96">
        <v>0</v>
      </c>
    </row>
    <row r="145" spans="1:14" ht="12.75">
      <c r="A145" s="63">
        <v>46616</v>
      </c>
      <c r="B145" s="97">
        <v>0</v>
      </c>
      <c r="C145" s="101"/>
      <c r="D145" s="97">
        <v>0</v>
      </c>
      <c r="F145" s="97">
        <v>0</v>
      </c>
      <c r="H145" s="97">
        <v>0</v>
      </c>
      <c r="J145" s="97">
        <v>0</v>
      </c>
      <c r="L145" s="121">
        <v>0</v>
      </c>
      <c r="N145" s="96">
        <v>0</v>
      </c>
    </row>
    <row r="146" spans="1:14" ht="12.75">
      <c r="A146" s="63">
        <v>46647</v>
      </c>
      <c r="B146" s="97">
        <v>0</v>
      </c>
      <c r="C146" s="101"/>
      <c r="D146" s="97">
        <v>0</v>
      </c>
      <c r="F146" s="97">
        <v>0</v>
      </c>
      <c r="H146" s="97">
        <v>0</v>
      </c>
      <c r="J146" s="97">
        <v>0</v>
      </c>
      <c r="L146" s="121">
        <v>0</v>
      </c>
      <c r="N146" s="96">
        <v>0</v>
      </c>
    </row>
    <row r="147" spans="1:14" ht="12.75">
      <c r="A147" s="105">
        <v>46677</v>
      </c>
      <c r="B147" s="97">
        <v>0</v>
      </c>
      <c r="C147" s="101"/>
      <c r="D147" s="97">
        <v>0</v>
      </c>
      <c r="F147" s="97">
        <v>0</v>
      </c>
      <c r="H147" s="97">
        <v>0</v>
      </c>
      <c r="J147" s="97">
        <v>0</v>
      </c>
      <c r="L147" s="121">
        <v>0</v>
      </c>
      <c r="N147" s="96">
        <v>0</v>
      </c>
    </row>
    <row r="148" spans="1:14" ht="12.75">
      <c r="A148" s="63">
        <v>46708</v>
      </c>
      <c r="B148" s="97">
        <v>0</v>
      </c>
      <c r="C148" s="101"/>
      <c r="D148" s="97">
        <v>0</v>
      </c>
      <c r="F148" s="97">
        <v>0</v>
      </c>
      <c r="H148" s="97">
        <v>0</v>
      </c>
      <c r="J148" s="97">
        <v>0</v>
      </c>
      <c r="L148" s="121">
        <v>0</v>
      </c>
      <c r="N148" s="96">
        <v>0</v>
      </c>
    </row>
    <row r="149" spans="1:14" ht="12.75">
      <c r="A149" s="63">
        <v>46738</v>
      </c>
      <c r="B149" s="97">
        <v>0</v>
      </c>
      <c r="C149" s="101"/>
      <c r="D149" s="97">
        <v>0</v>
      </c>
      <c r="F149" s="97">
        <v>0</v>
      </c>
      <c r="H149" s="97">
        <v>0</v>
      </c>
      <c r="J149" s="97">
        <v>0</v>
      </c>
      <c r="L149" s="121">
        <v>0</v>
      </c>
      <c r="N149" s="96">
        <v>0</v>
      </c>
    </row>
    <row r="150" spans="1:14" ht="12.75">
      <c r="A150" s="105">
        <v>46769</v>
      </c>
      <c r="B150" s="97">
        <v>0</v>
      </c>
      <c r="C150" s="101"/>
      <c r="D150" s="97">
        <v>0</v>
      </c>
      <c r="F150" s="97">
        <v>0</v>
      </c>
      <c r="H150" s="97">
        <v>0</v>
      </c>
      <c r="J150" s="97">
        <v>0</v>
      </c>
      <c r="L150" s="121">
        <v>0</v>
      </c>
      <c r="N150" s="96">
        <v>0</v>
      </c>
    </row>
    <row r="151" spans="1:14" ht="12.75">
      <c r="A151" s="63">
        <v>46800</v>
      </c>
      <c r="B151" s="97">
        <v>0</v>
      </c>
      <c r="C151" s="101"/>
      <c r="D151" s="97">
        <v>0</v>
      </c>
      <c r="F151" s="97">
        <v>0</v>
      </c>
      <c r="H151" s="97">
        <v>0</v>
      </c>
      <c r="J151" s="97">
        <v>0</v>
      </c>
      <c r="L151" s="121">
        <v>0</v>
      </c>
      <c r="N151" s="96">
        <v>0</v>
      </c>
    </row>
    <row r="152" spans="1:14" ht="12.75">
      <c r="A152" s="63">
        <v>46829</v>
      </c>
      <c r="B152" s="97">
        <v>0</v>
      </c>
      <c r="C152" s="101"/>
      <c r="D152" s="97">
        <v>0</v>
      </c>
      <c r="F152" s="97">
        <v>0</v>
      </c>
      <c r="H152" s="97">
        <v>0</v>
      </c>
      <c r="J152" s="97">
        <v>0</v>
      </c>
      <c r="L152" s="121">
        <v>0</v>
      </c>
      <c r="N152" s="96">
        <v>0</v>
      </c>
    </row>
    <row r="153" spans="1:14" ht="12.75">
      <c r="A153" s="105">
        <v>46860</v>
      </c>
      <c r="B153" s="97">
        <v>0</v>
      </c>
      <c r="C153" s="101"/>
      <c r="D153" s="97">
        <v>0</v>
      </c>
      <c r="F153" s="97">
        <v>0</v>
      </c>
      <c r="H153" s="97">
        <v>0</v>
      </c>
      <c r="J153" s="97">
        <v>0</v>
      </c>
      <c r="L153" s="121">
        <v>0</v>
      </c>
      <c r="N153" s="96">
        <v>0</v>
      </c>
    </row>
    <row r="154" spans="1:14" ht="12.75">
      <c r="A154" s="63">
        <v>46890</v>
      </c>
      <c r="B154" s="97">
        <v>0</v>
      </c>
      <c r="C154" s="101"/>
      <c r="D154" s="97">
        <v>0</v>
      </c>
      <c r="F154" s="97">
        <v>0</v>
      </c>
      <c r="H154" s="97">
        <v>0</v>
      </c>
      <c r="J154" s="97">
        <v>0</v>
      </c>
      <c r="L154" s="121">
        <v>0</v>
      </c>
      <c r="N154" s="96">
        <v>0</v>
      </c>
    </row>
    <row r="155" spans="1:14" ht="12.75">
      <c r="A155" s="63">
        <v>46921</v>
      </c>
      <c r="B155" s="97">
        <v>0</v>
      </c>
      <c r="C155" s="101"/>
      <c r="D155" s="97">
        <v>0</v>
      </c>
      <c r="F155" s="97">
        <v>0</v>
      </c>
      <c r="H155" s="97">
        <v>0</v>
      </c>
      <c r="J155" s="97">
        <v>0</v>
      </c>
      <c r="L155" s="121">
        <v>0</v>
      </c>
      <c r="N155" s="96">
        <v>0</v>
      </c>
    </row>
    <row r="156" spans="1:14" ht="12.75">
      <c r="A156" s="105">
        <v>46951</v>
      </c>
      <c r="B156" s="97">
        <v>0</v>
      </c>
      <c r="C156" s="101"/>
      <c r="D156" s="97">
        <v>0</v>
      </c>
      <c r="F156" s="97">
        <v>0</v>
      </c>
      <c r="H156" s="97">
        <v>0</v>
      </c>
      <c r="J156" s="97">
        <v>0</v>
      </c>
      <c r="L156" s="121">
        <v>0</v>
      </c>
      <c r="N156" s="96">
        <v>0</v>
      </c>
    </row>
    <row r="157" spans="1:14" ht="12.75">
      <c r="A157" s="63">
        <v>46982</v>
      </c>
      <c r="B157" s="97">
        <v>0</v>
      </c>
      <c r="C157" s="101"/>
      <c r="D157" s="97">
        <v>0</v>
      </c>
      <c r="F157" s="97">
        <v>0</v>
      </c>
      <c r="H157" s="97">
        <v>0</v>
      </c>
      <c r="J157" s="97">
        <v>0</v>
      </c>
      <c r="L157" s="121">
        <v>0</v>
      </c>
      <c r="N157" s="96">
        <v>0</v>
      </c>
    </row>
    <row r="158" spans="1:14" ht="12.75">
      <c r="A158" s="63">
        <v>47013</v>
      </c>
      <c r="B158" s="97">
        <v>0</v>
      </c>
      <c r="D158" s="97">
        <v>0</v>
      </c>
      <c r="F158" s="97">
        <v>0</v>
      </c>
      <c r="H158" s="97">
        <v>0</v>
      </c>
      <c r="J158" s="97">
        <v>0</v>
      </c>
      <c r="L158" s="121">
        <v>0</v>
      </c>
      <c r="N158" s="96">
        <v>0</v>
      </c>
    </row>
    <row r="159" spans="1:14" ht="12.75">
      <c r="A159" s="105">
        <v>47043</v>
      </c>
      <c r="B159" s="97">
        <v>0</v>
      </c>
      <c r="D159" s="97">
        <v>0</v>
      </c>
      <c r="F159" s="97">
        <v>0</v>
      </c>
      <c r="H159" s="97">
        <v>0</v>
      </c>
      <c r="J159" s="97">
        <v>0</v>
      </c>
      <c r="L159" s="121">
        <v>0</v>
      </c>
      <c r="N159" s="96">
        <v>0</v>
      </c>
    </row>
    <row r="160" spans="1:14" ht="12.75">
      <c r="A160" s="63">
        <v>47074</v>
      </c>
      <c r="B160" s="97">
        <v>0</v>
      </c>
      <c r="D160" s="97">
        <v>0</v>
      </c>
      <c r="F160" s="97">
        <v>0</v>
      </c>
      <c r="H160" s="97">
        <v>0</v>
      </c>
      <c r="J160" s="97">
        <v>0</v>
      </c>
      <c r="L160" s="121">
        <v>0</v>
      </c>
      <c r="N160" s="96">
        <v>0</v>
      </c>
    </row>
    <row r="161" spans="1:14" ht="12.75">
      <c r="A161" s="63">
        <v>47104</v>
      </c>
      <c r="B161" s="97">
        <v>0</v>
      </c>
      <c r="D161" s="97">
        <v>0</v>
      </c>
      <c r="F161" s="97">
        <v>0</v>
      </c>
      <c r="H161" s="97">
        <v>0</v>
      </c>
      <c r="J161" s="97">
        <v>0</v>
      </c>
      <c r="L161" s="121">
        <v>0</v>
      </c>
      <c r="N161" s="96">
        <v>0</v>
      </c>
    </row>
    <row r="162" spans="1:14" ht="12.75">
      <c r="A162" s="105">
        <v>47135</v>
      </c>
      <c r="B162" s="97">
        <v>0</v>
      </c>
      <c r="D162" s="97">
        <v>0</v>
      </c>
      <c r="F162" s="97">
        <v>0</v>
      </c>
      <c r="H162" s="97">
        <v>0</v>
      </c>
      <c r="J162" s="97">
        <v>0</v>
      </c>
      <c r="L162" s="121">
        <v>0</v>
      </c>
      <c r="N162" s="96">
        <v>0</v>
      </c>
    </row>
    <row r="163" spans="1:14" ht="12.75">
      <c r="A163" s="63">
        <v>47166</v>
      </c>
      <c r="B163" s="97">
        <v>0</v>
      </c>
      <c r="D163" s="97">
        <v>0</v>
      </c>
      <c r="F163" s="97">
        <v>0</v>
      </c>
      <c r="H163" s="97">
        <v>0</v>
      </c>
      <c r="J163" s="97">
        <v>0</v>
      </c>
      <c r="L163" s="121">
        <v>0</v>
      </c>
      <c r="N163" s="96">
        <v>0</v>
      </c>
    </row>
    <row r="164" spans="1:14" ht="12.75">
      <c r="A164" s="63">
        <v>47194</v>
      </c>
      <c r="B164" s="97">
        <v>0</v>
      </c>
      <c r="D164" s="97">
        <v>0</v>
      </c>
      <c r="F164" s="97">
        <v>0</v>
      </c>
      <c r="H164" s="97">
        <v>0</v>
      </c>
      <c r="J164" s="97">
        <v>0</v>
      </c>
      <c r="L164" s="121">
        <v>0</v>
      </c>
      <c r="N164" s="96">
        <v>0</v>
      </c>
    </row>
    <row r="165" spans="1:14" ht="12.75">
      <c r="A165" s="105">
        <v>47225</v>
      </c>
      <c r="B165" s="97">
        <v>0</v>
      </c>
      <c r="D165" s="97">
        <v>0</v>
      </c>
      <c r="F165" s="97">
        <v>0</v>
      </c>
      <c r="H165" s="97">
        <v>0</v>
      </c>
      <c r="J165" s="97">
        <v>0</v>
      </c>
      <c r="L165" s="121">
        <v>0</v>
      </c>
      <c r="N165" s="96">
        <v>0</v>
      </c>
    </row>
    <row r="166" spans="1:14" ht="12.75">
      <c r="A166" s="63">
        <v>47255</v>
      </c>
      <c r="B166" s="97">
        <v>0</v>
      </c>
      <c r="D166" s="97">
        <v>0</v>
      </c>
      <c r="F166" s="97">
        <v>0</v>
      </c>
      <c r="H166" s="97">
        <v>0</v>
      </c>
      <c r="J166" s="97">
        <v>0</v>
      </c>
      <c r="L166" s="121">
        <v>0</v>
      </c>
      <c r="N166" s="96">
        <v>0</v>
      </c>
    </row>
    <row r="167" spans="1:14" ht="12.75">
      <c r="A167" s="63">
        <v>47286</v>
      </c>
      <c r="B167" s="97">
        <v>0</v>
      </c>
      <c r="D167" s="97">
        <v>0</v>
      </c>
      <c r="F167" s="97">
        <v>0</v>
      </c>
      <c r="H167" s="97">
        <v>0</v>
      </c>
      <c r="J167" s="97">
        <v>0</v>
      </c>
      <c r="L167" s="121">
        <v>0</v>
      </c>
      <c r="N167" s="96">
        <v>0</v>
      </c>
    </row>
    <row r="168" spans="1:14" ht="12.75">
      <c r="A168" s="105">
        <v>47316</v>
      </c>
      <c r="B168" s="97">
        <v>0</v>
      </c>
      <c r="D168" s="97">
        <v>0</v>
      </c>
      <c r="F168" s="97">
        <v>0</v>
      </c>
      <c r="H168" s="97">
        <v>0</v>
      </c>
      <c r="J168" s="97">
        <v>0</v>
      </c>
      <c r="L168" s="121">
        <v>0</v>
      </c>
      <c r="N168" s="96">
        <v>0</v>
      </c>
    </row>
    <row r="169" spans="1:14" ht="12.75">
      <c r="A169" s="63">
        <v>47347</v>
      </c>
      <c r="B169" s="97">
        <v>0</v>
      </c>
      <c r="D169" s="97">
        <v>0</v>
      </c>
      <c r="F169" s="97">
        <v>0</v>
      </c>
      <c r="H169" s="97">
        <v>0</v>
      </c>
      <c r="J169" s="97">
        <v>0</v>
      </c>
      <c r="L169" s="121">
        <v>0</v>
      </c>
      <c r="N169" s="96">
        <v>0</v>
      </c>
    </row>
    <row r="170" spans="1:14" ht="12.75">
      <c r="A170" s="63">
        <v>47378</v>
      </c>
      <c r="B170" s="97">
        <v>0</v>
      </c>
      <c r="D170" s="97">
        <v>0</v>
      </c>
      <c r="F170" s="97">
        <v>0</v>
      </c>
      <c r="H170" s="97">
        <v>0</v>
      </c>
      <c r="J170" s="97">
        <v>0</v>
      </c>
      <c r="L170" s="121">
        <v>0</v>
      </c>
      <c r="N170" s="96">
        <v>0</v>
      </c>
    </row>
    <row r="171" spans="1:14" ht="12.75">
      <c r="A171" s="105">
        <v>47408</v>
      </c>
      <c r="B171" s="97">
        <v>0</v>
      </c>
      <c r="D171" s="97">
        <v>0</v>
      </c>
      <c r="F171" s="97">
        <v>0</v>
      </c>
      <c r="H171" s="97">
        <v>0</v>
      </c>
      <c r="J171" s="97">
        <v>0</v>
      </c>
      <c r="L171" s="121">
        <v>0</v>
      </c>
      <c r="N171" s="96">
        <v>0</v>
      </c>
    </row>
    <row r="172" spans="1:14" ht="12.75">
      <c r="A172" s="63">
        <v>47439</v>
      </c>
      <c r="B172" s="97">
        <v>0</v>
      </c>
      <c r="D172" s="97">
        <v>0</v>
      </c>
      <c r="F172" s="97">
        <v>0</v>
      </c>
      <c r="H172" s="97">
        <v>0</v>
      </c>
      <c r="J172" s="97">
        <v>0</v>
      </c>
      <c r="L172" s="121">
        <v>0</v>
      </c>
      <c r="N172" s="96">
        <v>0</v>
      </c>
    </row>
    <row r="173" spans="1:14" ht="12.75">
      <c r="A173" s="63">
        <v>47469</v>
      </c>
      <c r="B173" s="97">
        <v>0</v>
      </c>
      <c r="D173" s="97">
        <v>0</v>
      </c>
      <c r="F173" s="97">
        <v>0</v>
      </c>
      <c r="H173" s="97">
        <v>0</v>
      </c>
      <c r="J173" s="97">
        <v>0</v>
      </c>
      <c r="L173" s="121">
        <v>0</v>
      </c>
      <c r="N173" s="96">
        <v>0</v>
      </c>
    </row>
    <row r="174" spans="1:14" ht="12.75">
      <c r="A174" s="105">
        <v>47500</v>
      </c>
      <c r="B174" s="97">
        <v>0</v>
      </c>
      <c r="D174" s="97">
        <v>0</v>
      </c>
      <c r="F174" s="97">
        <v>0</v>
      </c>
      <c r="H174" s="97">
        <v>0</v>
      </c>
      <c r="J174" s="97">
        <v>0</v>
      </c>
      <c r="L174" s="121">
        <v>0</v>
      </c>
      <c r="N174" s="96">
        <v>0</v>
      </c>
    </row>
    <row r="175" spans="1:14" ht="12.75">
      <c r="A175" s="63">
        <v>47531</v>
      </c>
      <c r="B175" s="97">
        <v>0</v>
      </c>
      <c r="D175" s="97">
        <v>0</v>
      </c>
      <c r="F175" s="97">
        <v>0</v>
      </c>
      <c r="H175" s="97">
        <v>0</v>
      </c>
      <c r="J175" s="97">
        <v>0</v>
      </c>
      <c r="L175" s="121">
        <v>0</v>
      </c>
      <c r="N175" s="96">
        <v>0</v>
      </c>
    </row>
    <row r="176" spans="1:14" ht="12.75">
      <c r="A176" s="63">
        <v>47559</v>
      </c>
      <c r="B176" s="97">
        <v>0</v>
      </c>
      <c r="D176" s="97">
        <v>0</v>
      </c>
      <c r="F176" s="97">
        <v>0</v>
      </c>
      <c r="H176" s="97">
        <v>0</v>
      </c>
      <c r="J176" s="97">
        <v>0</v>
      </c>
      <c r="L176" s="121">
        <v>0</v>
      </c>
      <c r="N176" s="96">
        <v>0</v>
      </c>
    </row>
    <row r="177" spans="1:14" ht="12.75">
      <c r="A177" s="105">
        <v>47590</v>
      </c>
      <c r="B177" s="97">
        <v>0</v>
      </c>
      <c r="D177" s="97">
        <v>0</v>
      </c>
      <c r="F177" s="97">
        <v>0</v>
      </c>
      <c r="H177" s="97">
        <v>0</v>
      </c>
      <c r="J177" s="97">
        <v>0</v>
      </c>
      <c r="L177" s="121">
        <v>0</v>
      </c>
      <c r="N177" s="96">
        <v>0</v>
      </c>
    </row>
    <row r="178" spans="1:14" ht="12.75">
      <c r="A178" s="63">
        <v>47620</v>
      </c>
      <c r="B178" s="97">
        <v>0</v>
      </c>
      <c r="D178" s="97">
        <v>0</v>
      </c>
      <c r="F178" s="97">
        <v>0</v>
      </c>
      <c r="H178" s="97">
        <v>0</v>
      </c>
      <c r="J178" s="97">
        <v>0</v>
      </c>
      <c r="L178" s="121">
        <v>0</v>
      </c>
      <c r="N178" s="96">
        <v>0</v>
      </c>
    </row>
    <row r="179" spans="1:14" ht="12.75">
      <c r="A179" s="63">
        <v>47651</v>
      </c>
      <c r="B179" s="97">
        <v>0</v>
      </c>
      <c r="D179" s="97">
        <v>0</v>
      </c>
      <c r="F179" s="97">
        <v>0</v>
      </c>
      <c r="H179" s="97">
        <v>0</v>
      </c>
      <c r="J179" s="97">
        <v>0</v>
      </c>
      <c r="L179" s="121">
        <v>0</v>
      </c>
      <c r="N179" s="96">
        <v>0</v>
      </c>
    </row>
    <row r="180" spans="1:14" ht="12.75">
      <c r="A180" s="105">
        <v>47681</v>
      </c>
      <c r="B180" s="97">
        <v>0</v>
      </c>
      <c r="D180" s="97">
        <v>0</v>
      </c>
      <c r="F180" s="97">
        <v>0</v>
      </c>
      <c r="H180" s="97">
        <v>0</v>
      </c>
      <c r="J180" s="97">
        <v>0</v>
      </c>
      <c r="L180" s="121">
        <v>0</v>
      </c>
      <c r="N180" s="96">
        <v>0</v>
      </c>
    </row>
    <row r="181" spans="1:12" ht="12.75">
      <c r="A181" s="105">
        <v>47712</v>
      </c>
      <c r="B181" s="97">
        <v>0</v>
      </c>
      <c r="D181" s="97">
        <v>0</v>
      </c>
      <c r="F181" s="97">
        <v>0</v>
      </c>
      <c r="H181" s="97">
        <v>0</v>
      </c>
      <c r="J181" s="97">
        <v>0</v>
      </c>
      <c r="L181" s="121">
        <v>0</v>
      </c>
    </row>
    <row r="182" spans="1:12" ht="12.75">
      <c r="A182" s="105">
        <v>47743</v>
      </c>
      <c r="B182" s="97">
        <v>0</v>
      </c>
      <c r="D182" s="97">
        <v>0</v>
      </c>
      <c r="F182" s="97">
        <v>0</v>
      </c>
      <c r="H182" s="97">
        <v>0</v>
      </c>
      <c r="J182" s="97">
        <v>0</v>
      </c>
      <c r="L182" s="121">
        <v>0</v>
      </c>
    </row>
    <row r="183" spans="1:14" ht="13.5" thickBot="1">
      <c r="A183" s="63">
        <v>47773</v>
      </c>
      <c r="B183" s="98">
        <v>0</v>
      </c>
      <c r="D183" s="98">
        <v>0</v>
      </c>
      <c r="F183" s="98">
        <v>0</v>
      </c>
      <c r="H183" s="98">
        <v>0</v>
      </c>
      <c r="J183" s="98">
        <v>0</v>
      </c>
      <c r="L183" s="122">
        <v>0</v>
      </c>
      <c r="N183" s="96">
        <v>0</v>
      </c>
    </row>
    <row r="184" spans="1:12" ht="12.75">
      <c r="A184" s="63"/>
      <c r="B184" s="99">
        <f>SUM(B3:B183)</f>
        <v>1</v>
      </c>
      <c r="D184" s="99">
        <f>SUM(D3:D183)</f>
        <v>1</v>
      </c>
      <c r="F184" s="99">
        <f>SUM(F3:F183)</f>
        <v>1</v>
      </c>
      <c r="H184" s="99">
        <f>SUM(H3:H183)</f>
        <v>1</v>
      </c>
      <c r="J184" s="99">
        <f>SUM(J3:J183)</f>
        <v>1</v>
      </c>
      <c r="L184" s="99">
        <f>SUM(L3:L183)</f>
        <v>1</v>
      </c>
    </row>
    <row r="185" spans="1:13" s="99" customFormat="1" ht="15.75" customHeight="1">
      <c r="A185" s="105"/>
      <c r="B185" s="99">
        <f>B184-1</f>
        <v>0</v>
      </c>
      <c r="C185" s="96"/>
      <c r="D185" s="99">
        <f>D184-1</f>
        <v>0</v>
      </c>
      <c r="E185" s="96"/>
      <c r="F185" s="99">
        <f>F184-1</f>
        <v>0</v>
      </c>
      <c r="G185" s="96"/>
      <c r="H185" s="99">
        <f>H184-1</f>
        <v>0</v>
      </c>
      <c r="I185" s="96"/>
      <c r="J185" s="99">
        <f>J184-1</f>
        <v>0</v>
      </c>
      <c r="K185" s="96"/>
      <c r="L185" s="99">
        <f>L184-1</f>
        <v>0</v>
      </c>
      <c r="M185" s="96"/>
    </row>
    <row r="186" spans="2:12" ht="12.75">
      <c r="B186" s="100"/>
      <c r="D186" s="100"/>
      <c r="F186" s="100"/>
      <c r="H186" s="100"/>
      <c r="J186" s="100"/>
      <c r="L186" s="100"/>
    </row>
    <row r="187" spans="2:12" ht="12.75">
      <c r="B187" s="100"/>
      <c r="D187" s="100"/>
      <c r="F187" s="100"/>
      <c r="H187" s="100"/>
      <c r="J187" s="100"/>
      <c r="L187" s="100"/>
    </row>
  </sheetData>
  <sheetProtection password="C5F9" sheet="1"/>
  <mergeCells count="1">
    <mergeCell ref="A1:A2"/>
  </mergeCells>
  <conditionalFormatting sqref="D185">
    <cfRule type="cellIs" priority="12" dxfId="0" operator="notEqual" stopIfTrue="1">
      <formula>1</formula>
    </cfRule>
  </conditionalFormatting>
  <conditionalFormatting sqref="D184">
    <cfRule type="cellIs" priority="11" dxfId="0" operator="notEqual" stopIfTrue="1">
      <formula>1</formula>
    </cfRule>
  </conditionalFormatting>
  <conditionalFormatting sqref="F185">
    <cfRule type="cellIs" priority="10" dxfId="0" operator="notEqual" stopIfTrue="1">
      <formula>1</formula>
    </cfRule>
  </conditionalFormatting>
  <conditionalFormatting sqref="F184">
    <cfRule type="cellIs" priority="9" dxfId="0" operator="notEqual" stopIfTrue="1">
      <formula>1</formula>
    </cfRule>
  </conditionalFormatting>
  <conditionalFormatting sqref="H185">
    <cfRule type="cellIs" priority="8" dxfId="0" operator="notEqual" stopIfTrue="1">
      <formula>1</formula>
    </cfRule>
  </conditionalFormatting>
  <conditionalFormatting sqref="H184">
    <cfRule type="cellIs" priority="7" dxfId="0" operator="notEqual" stopIfTrue="1">
      <formula>1</formula>
    </cfRule>
  </conditionalFormatting>
  <conditionalFormatting sqref="J185">
    <cfRule type="cellIs" priority="6" dxfId="0" operator="notEqual" stopIfTrue="1">
      <formula>1</formula>
    </cfRule>
  </conditionalFormatting>
  <conditionalFormatting sqref="J184">
    <cfRule type="cellIs" priority="5" dxfId="0" operator="notEqual" stopIfTrue="1">
      <formula>1</formula>
    </cfRule>
  </conditionalFormatting>
  <conditionalFormatting sqref="L185">
    <cfRule type="cellIs" priority="4" dxfId="0" operator="notEqual" stopIfTrue="1">
      <formula>1</formula>
    </cfRule>
  </conditionalFormatting>
  <conditionalFormatting sqref="L184">
    <cfRule type="cellIs" priority="3" dxfId="0" operator="notEqual" stopIfTrue="1">
      <formula>1</formula>
    </cfRule>
  </conditionalFormatting>
  <conditionalFormatting sqref="B185">
    <cfRule type="cellIs" priority="2" dxfId="0" operator="notEqual" stopIfTrue="1">
      <formula>1</formula>
    </cfRule>
  </conditionalFormatting>
  <conditionalFormatting sqref="B184">
    <cfRule type="cellIs" priority="1" dxfId="0" operator="notEqual" stopIfTrue="1">
      <formula>1</formula>
    </cfRule>
  </conditionalFormatting>
  <printOptions/>
  <pageMargins left="0.75" right="0.75" top="1" bottom="1" header="0" footer="0"/>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Hoja6"/>
  <dimension ref="A1:I16"/>
  <sheetViews>
    <sheetView zoomScalePageLayoutView="0" workbookViewId="0" topLeftCell="A1">
      <selection activeCell="B30" sqref="B30"/>
    </sheetView>
  </sheetViews>
  <sheetFormatPr defaultColWidth="11.421875" defaultRowHeight="12.75"/>
  <cols>
    <col min="1" max="16384" width="11.421875" style="36" customWidth="1"/>
  </cols>
  <sheetData>
    <row r="1" spans="1:9" ht="12.75">
      <c r="A1" s="212" t="s">
        <v>49</v>
      </c>
      <c r="B1" s="213"/>
      <c r="C1" s="213"/>
      <c r="D1" s="213"/>
      <c r="E1" s="213"/>
      <c r="F1" s="213"/>
      <c r="G1" s="213"/>
      <c r="H1" s="213"/>
      <c r="I1" s="117"/>
    </row>
    <row r="2" spans="1:9" ht="12.75">
      <c r="A2" s="213"/>
      <c r="B2" s="213"/>
      <c r="C2" s="213"/>
      <c r="D2" s="213"/>
      <c r="E2" s="213"/>
      <c r="F2" s="213"/>
      <c r="G2" s="213"/>
      <c r="H2" s="213"/>
      <c r="I2" s="117"/>
    </row>
    <row r="3" spans="1:9" ht="12.75">
      <c r="A3" s="213"/>
      <c r="B3" s="213"/>
      <c r="C3" s="213"/>
      <c r="D3" s="213"/>
      <c r="E3" s="213"/>
      <c r="F3" s="213"/>
      <c r="G3" s="213"/>
      <c r="H3" s="213"/>
      <c r="I3" s="117"/>
    </row>
    <row r="4" spans="1:9" ht="12.75">
      <c r="A4" s="213"/>
      <c r="B4" s="213"/>
      <c r="C4" s="213"/>
      <c r="D4" s="213"/>
      <c r="E4" s="213"/>
      <c r="F4" s="213"/>
      <c r="G4" s="213"/>
      <c r="H4" s="213"/>
      <c r="I4" s="117"/>
    </row>
    <row r="5" spans="1:9" ht="12.75">
      <c r="A5" s="213"/>
      <c r="B5" s="213"/>
      <c r="C5" s="213"/>
      <c r="D5" s="213"/>
      <c r="E5" s="213"/>
      <c r="F5" s="213"/>
      <c r="G5" s="213"/>
      <c r="H5" s="213"/>
      <c r="I5" s="117"/>
    </row>
    <row r="6" spans="1:9" ht="12.75">
      <c r="A6" s="213"/>
      <c r="B6" s="213"/>
      <c r="C6" s="213"/>
      <c r="D6" s="213"/>
      <c r="E6" s="213"/>
      <c r="F6" s="213"/>
      <c r="G6" s="213"/>
      <c r="H6" s="213"/>
      <c r="I6" s="117"/>
    </row>
    <row r="7" spans="1:9" ht="12.75">
      <c r="A7" s="213"/>
      <c r="B7" s="213"/>
      <c r="C7" s="213"/>
      <c r="D7" s="213"/>
      <c r="E7" s="213"/>
      <c r="F7" s="213"/>
      <c r="G7" s="213"/>
      <c r="H7" s="213"/>
      <c r="I7" s="117"/>
    </row>
    <row r="8" spans="1:9" ht="12.75">
      <c r="A8" s="213"/>
      <c r="B8" s="213"/>
      <c r="C8" s="213"/>
      <c r="D8" s="213"/>
      <c r="E8" s="213"/>
      <c r="F8" s="213"/>
      <c r="G8" s="213"/>
      <c r="H8" s="213"/>
      <c r="I8" s="117"/>
    </row>
    <row r="9" spans="1:9" ht="12.75">
      <c r="A9" s="213"/>
      <c r="B9" s="213"/>
      <c r="C9" s="213"/>
      <c r="D9" s="213"/>
      <c r="E9" s="213"/>
      <c r="F9" s="213"/>
      <c r="G9" s="213"/>
      <c r="H9" s="213"/>
      <c r="I9" s="117"/>
    </row>
    <row r="10" spans="1:9" ht="12.75">
      <c r="A10" s="213"/>
      <c r="B10" s="213"/>
      <c r="C10" s="213"/>
      <c r="D10" s="213"/>
      <c r="E10" s="213"/>
      <c r="F10" s="213"/>
      <c r="G10" s="213"/>
      <c r="H10" s="213"/>
      <c r="I10" s="117"/>
    </row>
    <row r="11" spans="1:9" ht="12.75">
      <c r="A11" s="213"/>
      <c r="B11" s="213"/>
      <c r="C11" s="213"/>
      <c r="D11" s="213"/>
      <c r="E11" s="213"/>
      <c r="F11" s="213"/>
      <c r="G11" s="213"/>
      <c r="H11" s="213"/>
      <c r="I11" s="117"/>
    </row>
    <row r="12" spans="1:9" ht="12.75">
      <c r="A12" s="213"/>
      <c r="B12" s="213"/>
      <c r="C12" s="213"/>
      <c r="D12" s="213"/>
      <c r="E12" s="213"/>
      <c r="F12" s="213"/>
      <c r="G12" s="213"/>
      <c r="H12" s="213"/>
      <c r="I12" s="117"/>
    </row>
    <row r="13" spans="1:9" ht="12.75">
      <c r="A13" s="213"/>
      <c r="B13" s="213"/>
      <c r="C13" s="213"/>
      <c r="D13" s="213"/>
      <c r="E13" s="213"/>
      <c r="F13" s="213"/>
      <c r="G13" s="213"/>
      <c r="H13" s="213"/>
      <c r="I13" s="117"/>
    </row>
    <row r="14" spans="1:9" ht="12.75">
      <c r="A14" s="213"/>
      <c r="B14" s="213"/>
      <c r="C14" s="213"/>
      <c r="D14" s="213"/>
      <c r="E14" s="213"/>
      <c r="F14" s="213"/>
      <c r="G14" s="213"/>
      <c r="H14" s="213"/>
      <c r="I14" s="117"/>
    </row>
    <row r="15" spans="1:9" ht="12.75">
      <c r="A15" s="117"/>
      <c r="B15" s="117"/>
      <c r="C15" s="117"/>
      <c r="D15" s="117"/>
      <c r="E15" s="117"/>
      <c r="F15" s="117"/>
      <c r="G15" s="117"/>
      <c r="H15" s="117"/>
      <c r="I15" s="117"/>
    </row>
    <row r="16" ht="12.75">
      <c r="A16" s="37" t="s">
        <v>48</v>
      </c>
    </row>
  </sheetData>
  <sheetProtection password="C539" sheet="1" objects="1" scenarios="1"/>
  <mergeCells count="1">
    <mergeCell ref="A1:H14"/>
  </mergeCells>
  <hyperlinks>
    <hyperlink ref="A16" location="'CALCULADORA TIPS Pesos E-12'!C2" display="Volver"/>
  </hyperlinks>
  <printOptions/>
  <pageMargins left="0.75" right="0.75" top="1" bottom="1" header="0" footer="0"/>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TITULARIZADORA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jrestrepo</dc:creator>
  <cp:keywords/>
  <dc:description/>
  <cp:lastModifiedBy>Sandra Moreno López</cp:lastModifiedBy>
  <cp:lastPrinted>2008-01-08T21:41:33Z</cp:lastPrinted>
  <dcterms:created xsi:type="dcterms:W3CDTF">2002-04-18T20:31:17Z</dcterms:created>
  <dcterms:modified xsi:type="dcterms:W3CDTF">2018-06-18T15:18:20Z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