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500" windowHeight="10170" tabRatio="658" activeTab="0"/>
  </bookViews>
  <sheets>
    <sheet name="CALCULADORA TIS Pesos H-2" sheetId="1" r:id="rId1"/>
    <sheet name="Características" sheetId="2" state="hidden" r:id="rId2"/>
    <sheet name="Flujos" sheetId="3" r:id="rId3"/>
    <sheet name="Hoja1" sheetId="4" state="hidden" r:id="rId4"/>
    <sheet name="Exclusión" sheetId="5" r:id="rId5"/>
    <sheet name="Tablas" sheetId="6" state="hidden" r:id="rId6"/>
    <sheet name="Tabla de Amortizacion" sheetId="7" state="hidden" r:id="rId7"/>
  </sheets>
  <definedNames>
    <definedName name="_xlfn.SINGLE" hidden="1">#NAME?</definedName>
  </definedNames>
  <calcPr fullCalcOnLoad="1"/>
</workbook>
</file>

<file path=xl/sharedStrings.xml><?xml version="1.0" encoding="utf-8"?>
<sst xmlns="http://schemas.openxmlformats.org/spreadsheetml/2006/main" count="104" uniqueCount="87">
  <si>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</si>
  <si>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</si>
  <si>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</si>
  <si>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</si>
  <si>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</si>
  <si>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</si>
  <si>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</si>
  <si>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</si>
  <si>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</si>
  <si>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</si>
  <si>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</si>
  <si>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</si>
  <si>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</si>
  <si>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</si>
  <si>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</si>
  <si>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</si>
  <si>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</si>
  <si>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</si>
  <si>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</si>
  <si>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</si>
  <si>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</si>
  <si>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</si>
  <si>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</si>
  <si>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</si>
  <si>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</si>
  <si>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</si>
  <si>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</si>
  <si>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</si>
  <si>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</si>
  <si>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</si>
  <si>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</si>
  <si>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</si>
  <si>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</si>
  <si>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</si>
  <si>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</si>
  <si>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</si>
  <si>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</si>
  <si>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</si>
  <si>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6% (Medio)</t>
  </si>
  <si>
    <t>10% (Medio Alto)</t>
  </si>
  <si>
    <t>14% (Alto)</t>
  </si>
  <si>
    <t>Escenario de Amortización Contractual</t>
  </si>
  <si>
    <t>Escenario de Prepago  6% (Medio)</t>
  </si>
  <si>
    <t>Escenario de Prepago  10% (Medio Alto)</t>
  </si>
  <si>
    <t>Escenario de Prepago  14% (Alto)</t>
  </si>
  <si>
    <t>Escenario de Prepago  20%</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</si>
  <si>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</si>
  <si>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</si>
  <si>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Volver</t>
  </si>
  <si>
    <t>Titularizadora Colombiana S.A. releases this document strictly for the investors' information purposes. Although the data included here come from sources deemed as trustable by the company, Titularizadora Colombiana S.A. does not guarantee their accuracy. In no case its content may be considered as a financial or legal opinion nor as a business or investment recommendation by the company. Neither may it be considered as an invitation to do business or as an offer to buy or sell any kind of security. In any case, Titularizadora Colombiana S.A. is not responsible for the investment decisions made, or the result of any operation carried out by the addressees or any third parties based on the information contained in this document. Such responsibility falls exclusively on the investors that use such information. Variations may happen after the release of such information, therefore Titularizadora Colombiana S.A. reserves the right to change or update them at any time and without notice.</t>
  </si>
  <si>
    <t>Fecha / Date</t>
  </si>
  <si>
    <t>Días 365 / Days 365</t>
  </si>
  <si>
    <t>Amortización / Amortization</t>
  </si>
  <si>
    <t>Saldo / Balance</t>
  </si>
  <si>
    <t>Flujo de Capital / Principal Flow</t>
  </si>
  <si>
    <t>Flujo de Intereses / Interest Flow</t>
  </si>
  <si>
    <t>Flujo Total /       Total Flow</t>
  </si>
  <si>
    <t>Serie Seleccionada  / Selected Tranche</t>
  </si>
  <si>
    <t xml:space="preserve">Fecha de liquidación / Settlement Date </t>
  </si>
  <si>
    <t xml:space="preserve">Características / Characteristics </t>
  </si>
  <si>
    <t>Cálculo de precio y rentabilidad / Price and Yield Calculation</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</si>
  <si>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</si>
  <si>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</si>
  <si>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</si>
  <si>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</si>
  <si>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</si>
  <si>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</si>
  <si>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</si>
  <si>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</si>
  <si>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</si>
  <si>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</si>
  <si>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Nominal Inicial / Nominal Initial Value</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</si>
  <si>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</si>
  <si>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</si>
  <si>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</si>
  <si>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</si>
  <si>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</si>
  <si>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</si>
  <si>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</si>
  <si>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</si>
  <si>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 xml:space="preserve">Celdas modificables / Modifiable Cells </t>
  </si>
  <si>
    <t>Exclusión de responsabilidad / Disclaimer</t>
  </si>
  <si>
    <r>
      <t>20%</t>
    </r>
    <r>
      <rPr>
        <sz val="10"/>
        <color indexed="9"/>
        <rFont val="Tahoma"/>
        <family val="2"/>
      </rPr>
      <t>_</t>
    </r>
  </si>
  <si>
    <t>COT80CHGRALTITIPXXX</t>
  </si>
  <si>
    <t>CALCULADORA DE PRECIOS TIS PESOS H-2 / PRICE CALCULATOR TIS PESOS H-2</t>
  </si>
  <si>
    <t>TIS Pesos H-2 A 2028</t>
  </si>
  <si>
    <t>TISA10180528</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</si>
</sst>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 #,##0_ ;_ * \-#,##0_ ;_ * &quot;-&quot;_ ;_ @_ "/>
    <numFmt numFmtId="171" formatCode="_ * #,##0.00_ ;_ * \-#,##0.00_ ;_ * &quot;-&quot;??_ ;_ @_ "/>
    <numFmt numFmtId="172" formatCode="_-* #,##0\ &quot;pta&quot;_-;\-* #,##0\ &quot;pta&quot;_-;_-* &quot;-&quot;\ &quot;pta&quot;_-;_-@_-"/>
    <numFmt numFmtId="173" formatCode="_-* #,##0\ _p_t_a_-;\-* #,##0\ _p_t_a_-;_-* &quot;-&quot;\ _p_t_a_-;_-@_-"/>
    <numFmt numFmtId="174" formatCode="_-* #,##0.00\ &quot;pta&quot;_-;\-* #,##0.00\ &quot;pta&quot;_-;_-* &quot;-&quot;??\ &quot;pta&quot;_-;_-@_-"/>
    <numFmt numFmtId="175" formatCode="_-* #,##0.00\ _p_t_a_-;\-* #,##0.00\ _p_t_a_-;_-* &quot;-&quot;??\ _p_t_a_-;_-@_-"/>
    <numFmt numFmtId="176" formatCode="0.00000%"/>
    <numFmt numFmtId="177" formatCode="0.000%"/>
    <numFmt numFmtId="178" formatCode="_ * #,##0_ ;_ * \-#,##0_ ;_ * &quot;-&quot;??_ ;_ @_ "/>
    <numFmt numFmtId="179" formatCode="0.000000000%"/>
    <numFmt numFmtId="180" formatCode="0.0000000%"/>
    <numFmt numFmtId="181" formatCode="#,##0.000000_ ;\-#,##0.000000\ "/>
    <numFmt numFmtId="182" formatCode="#,##0.000_ ;\-#,##0.000\ "/>
    <numFmt numFmtId="183" formatCode="_-* #,##0\ _p_t_a_-;\-* #,##0\ _p_t_a_-;_-* &quot;-&quot;??\ _p_t_a_-;_-@_-"/>
    <numFmt numFmtId="184" formatCode="0.000000%"/>
    <numFmt numFmtId="185" formatCode="_ * #,##0.000_ ;_ * \-#,##0.000_ ;_ * &quot;-&quot;??_ ;_ @_ "/>
    <numFmt numFmtId="186" formatCode="_ * #,##0.0000_ ;_ * \-#,##0.0000_ ;_ * &quot;-&quot;??_ ;_ @_ "/>
    <numFmt numFmtId="187" formatCode="_ * #,##0.00000_ ;_ * \-#,##0.00000_ ;_ * &quot;-&quot;??_ ;_ @_ "/>
    <numFmt numFmtId="188" formatCode="_ * #,##0.000000_ ;_ * \-#,##0.000000_ ;_ * &quot;-&quot;??_ ;_ @_ "/>
    <numFmt numFmtId="189" formatCode="#,##0_ ;\-#,##0\ "/>
    <numFmt numFmtId="190" formatCode="_ * #,##0.0000_ ;_ * \-#,##0.0000_ ;_ * &quot;-&quot;????_ ;_ @_ "/>
    <numFmt numFmtId="191" formatCode="0.000000000000%"/>
    <numFmt numFmtId="192" formatCode="0.0000000000000%"/>
    <numFmt numFmtId="193" formatCode="_ &quot;$&quot;\ * #,##0.00_ ;_ &quot;$&quot;\ * \-#,##0.00_ ;_ &quot;$&quot;\ * &quot;-&quot;??_ ;_ @_ "/>
    <numFmt numFmtId="194" formatCode="_-&quot;$&quot;* #,##0_-;\-&quot;$&quot;* #,##0_-;_-&quot;$&quot;* &quot;-&quot;_-;_-@_-"/>
    <numFmt numFmtId="195" formatCode="[$-240A]d&quot; de &quot;mmmm&quot; de &quot;yyyy;@"/>
    <numFmt numFmtId="196" formatCode="[$-409]mmmm\ d\,\ yyyy;@"/>
    <numFmt numFmtId="197" formatCode="&quot;$&quot;\ #,##0;[Red]&quot;$&quot;\ \-#,##0"/>
    <numFmt numFmtId="198" formatCode="dd\ &quot;de&quot;\ mmmm"/>
    <numFmt numFmtId="199" formatCode="_ &quot;$&quot;\ * #,##0_ ;_ &quot;$&quot;\ * \-#,##0_ ;_ &quot;$&quot;\ * &quot;-&quot;_ ;_ @_ "/>
    <numFmt numFmtId="200" formatCode="0.00000000000%"/>
    <numFmt numFmtId="201" formatCode="d/mm/yyyy;@"/>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0%"/>
  </numFmts>
  <fonts count="58">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name val="Tahoma"/>
      <family val="2"/>
    </font>
    <font>
      <sz val="12"/>
      <name val="Arial"/>
      <family val="2"/>
    </font>
    <font>
      <b/>
      <sz val="10"/>
      <color indexed="9"/>
      <name val="Tahoma"/>
      <family val="2"/>
    </font>
    <font>
      <sz val="10"/>
      <name val="Tahoma"/>
      <family val="2"/>
    </font>
    <font>
      <b/>
      <sz val="10"/>
      <color indexed="18"/>
      <name val="Tahoma"/>
      <family val="2"/>
    </font>
    <font>
      <sz val="10"/>
      <color indexed="18"/>
      <name val="Tahoma"/>
      <family val="2"/>
    </font>
    <font>
      <b/>
      <sz val="10"/>
      <color indexed="8"/>
      <name val="Tahoma"/>
      <family val="2"/>
    </font>
    <font>
      <sz val="10"/>
      <color indexed="9"/>
      <name val="Tahoma"/>
      <family val="2"/>
    </font>
    <font>
      <b/>
      <sz val="10"/>
      <color indexed="10"/>
      <name val="Tahoma"/>
      <family val="2"/>
    </font>
    <font>
      <sz val="10"/>
      <color indexed="10"/>
      <name val="Tahoma"/>
      <family val="2"/>
    </font>
    <font>
      <b/>
      <sz val="8"/>
      <name val="Arial"/>
      <family val="2"/>
    </font>
    <font>
      <b/>
      <sz val="8"/>
      <color indexed="32"/>
      <name val="Arial"/>
      <family val="2"/>
    </font>
    <font>
      <b/>
      <sz val="8"/>
      <color indexed="10"/>
      <name val="Arial"/>
      <family val="2"/>
    </font>
    <font>
      <sz val="12"/>
      <color indexed="18"/>
      <name val="Arial"/>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Tahoma"/>
      <family val="2"/>
    </font>
    <font>
      <b/>
      <sz val="10"/>
      <color rgb="FF000066"/>
      <name val="Tahoma"/>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00FF00"/>
        <bgColor indexed="64"/>
      </patternFill>
    </fill>
    <fill>
      <patternFill patternType="solid">
        <fgColor rgb="FFFFFFFF"/>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style="medium"/>
      <bottom>
        <color indexed="63"/>
      </bottom>
    </border>
    <border>
      <left style="medium"/>
      <right style="medium"/>
      <top style="medium"/>
      <bottom style="mediu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color indexed="22"/>
      </left>
      <right>
        <color indexed="63"/>
      </right>
      <top style="thin">
        <color indexed="22"/>
      </top>
      <bottom>
        <color indexed="63"/>
      </bottom>
    </border>
    <border>
      <left>
        <color indexed="63"/>
      </left>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93"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27">
    <xf numFmtId="0" fontId="0" fillId="0" borderId="0" xfId="0" applyAlignment="1">
      <alignment/>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0" fillId="0" borderId="11"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3" xfId="0" applyFont="1" applyFill="1" applyBorder="1" applyAlignment="1" applyProtection="1">
      <alignment/>
      <protection hidden="1"/>
    </xf>
    <xf numFmtId="14" fontId="0" fillId="0" borderId="11" xfId="0" applyNumberFormat="1" applyFont="1" applyFill="1" applyBorder="1" applyAlignment="1" applyProtection="1">
      <alignment/>
      <protection hidden="1"/>
    </xf>
    <xf numFmtId="188" fontId="0" fillId="0" borderId="11" xfId="49" applyNumberFormat="1" applyFont="1" applyFill="1" applyBorder="1" applyAlignment="1" applyProtection="1">
      <alignment horizontal="right"/>
      <protection hidden="1"/>
    </xf>
    <xf numFmtId="178" fontId="0" fillId="0" borderId="11" xfId="49" applyNumberFormat="1" applyFont="1" applyFill="1" applyBorder="1" applyAlignment="1" applyProtection="1">
      <alignment horizontal="right"/>
      <protection hidden="1"/>
    </xf>
    <xf numFmtId="186" fontId="0" fillId="0" borderId="11" xfId="49" applyNumberFormat="1" applyFont="1" applyFill="1" applyBorder="1" applyAlignment="1" applyProtection="1">
      <alignment horizontal="right"/>
      <protection hidden="1"/>
    </xf>
    <xf numFmtId="185" fontId="0" fillId="0" borderId="11" xfId="49" applyNumberFormat="1" applyFont="1" applyFill="1" applyBorder="1" applyAlignment="1" applyProtection="1">
      <alignment horizontal="right"/>
      <protection hidden="1"/>
    </xf>
    <xf numFmtId="171" fontId="0" fillId="0" borderId="11" xfId="49" applyNumberFormat="1" applyFont="1" applyFill="1" applyBorder="1" applyAlignment="1" applyProtection="1">
      <alignment horizontal="right"/>
      <protection hidden="1"/>
    </xf>
    <xf numFmtId="178" fontId="0" fillId="0" borderId="0" xfId="0" applyNumberFormat="1" applyFont="1" applyFill="1" applyBorder="1" applyAlignment="1" applyProtection="1">
      <alignment horizontal="center"/>
      <protection hidden="1"/>
    </xf>
    <xf numFmtId="187" fontId="0" fillId="0" borderId="11" xfId="49" applyNumberFormat="1" applyFont="1" applyFill="1" applyBorder="1" applyAlignment="1" applyProtection="1">
      <alignment horizontal="right"/>
      <protection hidden="1"/>
    </xf>
    <xf numFmtId="185" fontId="0" fillId="0" borderId="0" xfId="0" applyNumberFormat="1" applyFont="1" applyFill="1" applyBorder="1" applyAlignment="1" applyProtection="1">
      <alignment horizontal="center"/>
      <protection hidden="1"/>
    </xf>
    <xf numFmtId="0" fontId="0" fillId="0" borderId="14" xfId="0" applyFont="1" applyFill="1" applyBorder="1" applyAlignment="1" applyProtection="1">
      <alignment/>
      <protection hidden="1"/>
    </xf>
    <xf numFmtId="177" fontId="0" fillId="0" borderId="12" xfId="63" applyNumberFormat="1" applyFont="1" applyFill="1" applyBorder="1" applyAlignment="1" applyProtection="1">
      <alignment horizontal="right"/>
      <protection hidden="1"/>
    </xf>
    <xf numFmtId="177" fontId="0" fillId="0" borderId="11" xfId="63" applyNumberFormat="1" applyFont="1" applyFill="1" applyBorder="1" applyAlignment="1" applyProtection="1">
      <alignment horizontal="right"/>
      <protection hidden="1"/>
    </xf>
    <xf numFmtId="183" fontId="0" fillId="0" borderId="0" xfId="49" applyNumberFormat="1" applyFont="1" applyFill="1" applyBorder="1" applyAlignment="1" applyProtection="1">
      <alignment/>
      <protection hidden="1"/>
    </xf>
    <xf numFmtId="171" fontId="0" fillId="0" borderId="0" xfId="0" applyNumberFormat="1" applyFont="1" applyFill="1" applyBorder="1" applyAlignment="1" applyProtection="1">
      <alignment/>
      <protection hidden="1"/>
    </xf>
    <xf numFmtId="188" fontId="0" fillId="0" borderId="0" xfId="0" applyNumberFormat="1" applyFont="1" applyFill="1" applyBorder="1" applyAlignment="1" applyProtection="1">
      <alignment horizontal="center"/>
      <protection hidden="1"/>
    </xf>
    <xf numFmtId="185" fontId="0" fillId="0" borderId="12" xfId="0" applyNumberFormat="1" applyFont="1" applyFill="1" applyBorder="1" applyAlignment="1" applyProtection="1">
      <alignment horizontal="center"/>
      <protection hidden="1"/>
    </xf>
    <xf numFmtId="186" fontId="0" fillId="0" borderId="0" xfId="0" applyNumberFormat="1" applyFont="1" applyFill="1" applyBorder="1" applyAlignment="1" applyProtection="1">
      <alignment horizontal="center"/>
      <protection hidden="1"/>
    </xf>
    <xf numFmtId="190"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protection hidden="1"/>
    </xf>
    <xf numFmtId="0" fontId="0" fillId="0" borderId="0" xfId="0" applyFont="1" applyFill="1" applyAlignment="1" applyProtection="1">
      <alignment/>
      <protection hidden="1"/>
    </xf>
    <xf numFmtId="14" fontId="0" fillId="0" borderId="15" xfId="63" applyNumberFormat="1" applyFont="1" applyFill="1" applyBorder="1" applyAlignment="1" applyProtection="1">
      <alignment horizontal="center"/>
      <protection hidden="1"/>
    </xf>
    <xf numFmtId="14" fontId="0" fillId="0" borderId="13" xfId="63" applyNumberFormat="1" applyFont="1" applyFill="1" applyBorder="1" applyAlignment="1" applyProtection="1">
      <alignment horizontal="center"/>
      <protection hidden="1"/>
    </xf>
    <xf numFmtId="14" fontId="0" fillId="0" borderId="14" xfId="63"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46" applyFill="1" applyAlignment="1" applyProtection="1">
      <alignment horizontal="center" vertical="center"/>
      <protection hidden="1"/>
    </xf>
    <xf numFmtId="10" fontId="0" fillId="0" borderId="0" xfId="0" applyNumberFormat="1" applyFont="1" applyFill="1" applyBorder="1" applyAlignment="1" applyProtection="1">
      <alignment horizontal="center"/>
      <protection hidden="1"/>
    </xf>
    <xf numFmtId="0" fontId="0" fillId="33" borderId="0" xfId="0" applyFont="1" applyFill="1" applyAlignment="1" applyProtection="1">
      <alignment/>
      <protection hidden="1"/>
    </xf>
    <xf numFmtId="170" fontId="0" fillId="33" borderId="16" xfId="49" applyNumberFormat="1" applyFont="1" applyFill="1" applyBorder="1" applyAlignment="1" applyProtection="1">
      <alignment horizontal="center"/>
      <protection hidden="1"/>
    </xf>
    <xf numFmtId="184" fontId="0" fillId="33" borderId="16" xfId="63" applyNumberFormat="1" applyFont="1" applyFill="1" applyBorder="1" applyAlignment="1" applyProtection="1">
      <alignment/>
      <protection hidden="1"/>
    </xf>
    <xf numFmtId="188" fontId="0" fillId="33" borderId="16" xfId="49" applyNumberFormat="1" applyFont="1" applyFill="1" applyBorder="1" applyAlignment="1" applyProtection="1">
      <alignment horizontal="right"/>
      <protection hidden="1"/>
    </xf>
    <xf numFmtId="188" fontId="0" fillId="33" borderId="17" xfId="49" applyNumberFormat="1" applyFont="1" applyFill="1" applyBorder="1" applyAlignment="1" applyProtection="1">
      <alignment horizontal="right"/>
      <protection hidden="1"/>
    </xf>
    <xf numFmtId="14" fontId="0" fillId="33" borderId="16"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18" xfId="0" applyFont="1" applyFill="1" applyBorder="1" applyAlignment="1" applyProtection="1">
      <alignment horizontal="center"/>
      <protection hidden="1"/>
    </xf>
    <xf numFmtId="171" fontId="0" fillId="33" borderId="19" xfId="0" applyNumberFormat="1" applyFont="1" applyFill="1" applyBorder="1" applyAlignment="1" applyProtection="1">
      <alignment/>
      <protection hidden="1"/>
    </xf>
    <xf numFmtId="171" fontId="0" fillId="33" borderId="16" xfId="0" applyNumberFormat="1" applyFont="1" applyFill="1" applyBorder="1" applyAlignment="1" applyProtection="1">
      <alignment/>
      <protection hidden="1"/>
    </xf>
    <xf numFmtId="171" fontId="0" fillId="33" borderId="18" xfId="0" applyNumberFormat="1" applyFont="1" applyFill="1" applyBorder="1" applyAlignment="1" applyProtection="1">
      <alignment/>
      <protection hidden="1"/>
    </xf>
    <xf numFmtId="14" fontId="0" fillId="33" borderId="20" xfId="0" applyNumberFormat="1" applyFont="1" applyFill="1" applyBorder="1" applyAlignment="1" applyProtection="1">
      <alignment horizontal="center"/>
      <protection hidden="1"/>
    </xf>
    <xf numFmtId="0" fontId="0" fillId="33" borderId="21" xfId="0" applyFont="1" applyFill="1" applyBorder="1" applyAlignment="1" applyProtection="1">
      <alignment horizontal="center"/>
      <protection hidden="1"/>
    </xf>
    <xf numFmtId="0" fontId="0" fillId="33" borderId="22" xfId="0" applyFont="1" applyFill="1" applyBorder="1" applyAlignment="1" applyProtection="1">
      <alignment horizontal="center"/>
      <protection hidden="1"/>
    </xf>
    <xf numFmtId="171" fontId="0" fillId="33" borderId="20" xfId="0" applyNumberFormat="1" applyFont="1" applyFill="1" applyBorder="1" applyAlignment="1" applyProtection="1">
      <alignment/>
      <protection hidden="1"/>
    </xf>
    <xf numFmtId="171" fontId="0" fillId="33" borderId="22" xfId="0" applyNumberFormat="1" applyFont="1" applyFill="1" applyBorder="1" applyAlignment="1" applyProtection="1">
      <alignment/>
      <protection hidden="1"/>
    </xf>
    <xf numFmtId="0" fontId="4" fillId="33" borderId="23" xfId="0" applyFont="1" applyFill="1" applyBorder="1" applyAlignment="1" applyProtection="1">
      <alignment horizontal="center"/>
      <protection hidden="1"/>
    </xf>
    <xf numFmtId="0" fontId="4" fillId="33" borderId="24" xfId="0" applyFont="1" applyFill="1" applyBorder="1" applyAlignment="1" applyProtection="1">
      <alignment/>
      <protection hidden="1"/>
    </xf>
    <xf numFmtId="184" fontId="4" fillId="33" borderId="25" xfId="63" applyNumberFormat="1" applyFont="1" applyFill="1" applyBorder="1" applyAlignment="1" applyProtection="1">
      <alignment/>
      <protection hidden="1"/>
    </xf>
    <xf numFmtId="188" fontId="4" fillId="33" borderId="24" xfId="0" applyNumberFormat="1" applyFont="1" applyFill="1" applyBorder="1" applyAlignment="1" applyProtection="1">
      <alignment/>
      <protection hidden="1"/>
    </xf>
    <xf numFmtId="188" fontId="4" fillId="33" borderId="26" xfId="49" applyNumberFormat="1" applyFont="1" applyFill="1" applyBorder="1" applyAlignment="1" applyProtection="1">
      <alignment/>
      <protection hidden="1"/>
    </xf>
    <xf numFmtId="188" fontId="4" fillId="33" borderId="27" xfId="49" applyNumberFormat="1" applyFont="1" applyFill="1" applyBorder="1" applyAlignment="1" applyProtection="1">
      <alignment/>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171" fontId="4" fillId="33" borderId="28" xfId="0" applyNumberFormat="1" applyFont="1" applyFill="1" applyBorder="1" applyAlignment="1" applyProtection="1">
      <alignment/>
      <protection hidden="1"/>
    </xf>
    <xf numFmtId="171" fontId="4" fillId="33" borderId="26" xfId="49" applyNumberFormat="1" applyFont="1" applyFill="1" applyBorder="1" applyAlignment="1" applyProtection="1">
      <alignment/>
      <protection hidden="1"/>
    </xf>
    <xf numFmtId="171" fontId="4" fillId="33" borderId="27" xfId="49" applyNumberFormat="1" applyFont="1" applyFill="1" applyBorder="1" applyAlignment="1" applyProtection="1">
      <alignment/>
      <protection hidden="1"/>
    </xf>
    <xf numFmtId="2" fontId="0" fillId="33" borderId="0" xfId="0" applyNumberFormat="1" applyFont="1" applyFill="1" applyAlignment="1" applyProtection="1">
      <alignment/>
      <protection hidden="1"/>
    </xf>
    <xf numFmtId="0" fontId="0" fillId="34" borderId="0" xfId="0" applyFont="1" applyFill="1" applyAlignment="1" applyProtection="1">
      <alignment horizontal="center" vertical="center"/>
      <protection hidden="1"/>
    </xf>
    <xf numFmtId="170" fontId="0" fillId="0" borderId="16" xfId="49" applyNumberFormat="1" applyFont="1" applyFill="1" applyBorder="1" applyAlignment="1" applyProtection="1">
      <alignment horizontal="center"/>
      <protection hidden="1"/>
    </xf>
    <xf numFmtId="184" fontId="0" fillId="0" borderId="16" xfId="63" applyNumberFormat="1" applyFont="1" applyFill="1" applyBorder="1" applyAlignment="1" applyProtection="1">
      <alignment/>
      <protection hidden="1"/>
    </xf>
    <xf numFmtId="188" fontId="0" fillId="0" borderId="16" xfId="49" applyNumberFormat="1" applyFont="1" applyFill="1" applyBorder="1" applyAlignment="1" applyProtection="1">
      <alignment horizontal="right"/>
      <protection hidden="1"/>
    </xf>
    <xf numFmtId="188" fontId="0" fillId="0" borderId="17" xfId="49" applyNumberFormat="1" applyFont="1" applyFill="1" applyBorder="1" applyAlignment="1" applyProtection="1">
      <alignment horizontal="right"/>
      <protection hidden="1"/>
    </xf>
    <xf numFmtId="14" fontId="0" fillId="0" borderId="16"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protection hidden="1"/>
    </xf>
    <xf numFmtId="171" fontId="0" fillId="0" borderId="16" xfId="0" applyNumberFormat="1" applyFont="1" applyFill="1" applyBorder="1" applyAlignment="1" applyProtection="1">
      <alignment/>
      <protection hidden="1"/>
    </xf>
    <xf numFmtId="171" fontId="0" fillId="0" borderId="18" xfId="0" applyNumberFormat="1" applyFont="1" applyFill="1" applyBorder="1" applyAlignment="1" applyProtection="1">
      <alignment/>
      <protection hidden="1"/>
    </xf>
    <xf numFmtId="176" fontId="0" fillId="0" borderId="23" xfId="63" applyNumberFormat="1" applyFont="1" applyFill="1" applyBorder="1" applyAlignment="1" applyProtection="1">
      <alignment horizontal="center"/>
      <protection hidden="1"/>
    </xf>
    <xf numFmtId="171" fontId="0" fillId="0" borderId="19" xfId="0" applyNumberFormat="1" applyFont="1" applyFill="1" applyBorder="1" applyAlignment="1" applyProtection="1">
      <alignment/>
      <protection hidden="1"/>
    </xf>
    <xf numFmtId="179" fontId="0" fillId="0" borderId="0" xfId="0" applyNumberFormat="1"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184" fontId="0" fillId="0" borderId="0" xfId="0" applyNumberFormat="1" applyFont="1" applyFill="1" applyBorder="1" applyAlignment="1" applyProtection="1">
      <alignment horizontal="center"/>
      <protection hidden="1"/>
    </xf>
    <xf numFmtId="188" fontId="0" fillId="34" borderId="16" xfId="49" applyNumberFormat="1" applyFont="1" applyFill="1" applyBorder="1" applyAlignment="1" applyProtection="1">
      <alignment/>
      <protection hidden="1"/>
    </xf>
    <xf numFmtId="0" fontId="0" fillId="34" borderId="0" xfId="0" applyFont="1" applyFill="1" applyAlignment="1" applyProtection="1">
      <alignment/>
      <protection hidden="1"/>
    </xf>
    <xf numFmtId="14" fontId="0" fillId="0" borderId="13" xfId="0" applyNumberFormat="1" applyFont="1" applyFill="1" applyBorder="1" applyAlignment="1" applyProtection="1">
      <alignment horizontal="center"/>
      <protection hidden="1"/>
    </xf>
    <xf numFmtId="0" fontId="6" fillId="0" borderId="13" xfId="0" applyFont="1" applyFill="1" applyBorder="1" applyAlignment="1">
      <alignment horizontal="center" wrapText="1"/>
    </xf>
    <xf numFmtId="0" fontId="0" fillId="0" borderId="11" xfId="0" applyFont="1" applyFill="1" applyBorder="1" applyAlignment="1" applyProtection="1">
      <alignment horizontal="center"/>
      <protection hidden="1"/>
    </xf>
    <xf numFmtId="188" fontId="0" fillId="0" borderId="16" xfId="49" applyNumberFormat="1" applyFont="1" applyFill="1" applyBorder="1" applyAlignment="1" applyProtection="1">
      <alignment/>
      <protection hidden="1"/>
    </xf>
    <xf numFmtId="10" fontId="0" fillId="34" borderId="11" xfId="0" applyNumberFormat="1" applyFont="1" applyFill="1" applyBorder="1" applyAlignment="1" applyProtection="1">
      <alignment horizontal="center"/>
      <protection hidden="1"/>
    </xf>
    <xf numFmtId="179" fontId="0" fillId="34" borderId="0" xfId="0" applyNumberFormat="1"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170" fontId="0" fillId="34" borderId="16" xfId="49" applyNumberFormat="1" applyFont="1" applyFill="1" applyBorder="1" applyAlignment="1" applyProtection="1">
      <alignment horizontal="center"/>
      <protection hidden="1"/>
    </xf>
    <xf numFmtId="184" fontId="0" fillId="34" borderId="16" xfId="63" applyNumberFormat="1" applyFont="1" applyFill="1" applyBorder="1" applyAlignment="1" applyProtection="1">
      <alignment/>
      <protection hidden="1"/>
    </xf>
    <xf numFmtId="188" fontId="0" fillId="34" borderId="16" xfId="49" applyNumberFormat="1" applyFont="1" applyFill="1" applyBorder="1" applyAlignment="1" applyProtection="1">
      <alignment horizontal="right"/>
      <protection hidden="1"/>
    </xf>
    <xf numFmtId="188" fontId="0" fillId="34" borderId="17" xfId="49" applyNumberFormat="1" applyFont="1" applyFill="1" applyBorder="1" applyAlignment="1" applyProtection="1">
      <alignment horizontal="right"/>
      <protection hidden="1"/>
    </xf>
    <xf numFmtId="14" fontId="0" fillId="34" borderId="16" xfId="0" applyNumberFormat="1" applyFont="1" applyFill="1" applyBorder="1" applyAlignment="1" applyProtection="1">
      <alignment horizontal="center"/>
      <protection hidden="1"/>
    </xf>
    <xf numFmtId="0" fontId="0" fillId="34" borderId="18" xfId="0" applyFont="1" applyFill="1" applyBorder="1" applyAlignment="1" applyProtection="1">
      <alignment horizontal="center"/>
      <protection hidden="1"/>
    </xf>
    <xf numFmtId="171" fontId="0" fillId="34" borderId="19" xfId="0" applyNumberFormat="1" applyFont="1" applyFill="1" applyBorder="1" applyAlignment="1" applyProtection="1">
      <alignment/>
      <protection hidden="1"/>
    </xf>
    <xf numFmtId="171" fontId="0" fillId="34" borderId="16" xfId="0" applyNumberFormat="1" applyFont="1" applyFill="1" applyBorder="1" applyAlignment="1" applyProtection="1">
      <alignment/>
      <protection hidden="1"/>
    </xf>
    <xf numFmtId="171" fontId="0" fillId="34" borderId="18" xfId="0" applyNumberFormat="1" applyFont="1" applyFill="1" applyBorder="1" applyAlignment="1" applyProtection="1">
      <alignment/>
      <protection hidden="1"/>
    </xf>
    <xf numFmtId="176" fontId="0" fillId="0" borderId="29" xfId="70" applyNumberFormat="1" applyFont="1" applyFill="1" applyBorder="1" applyAlignment="1" applyProtection="1">
      <alignment horizontal="center"/>
      <protection hidden="1"/>
    </xf>
    <xf numFmtId="176" fontId="0" fillId="0" borderId="30" xfId="70" applyNumberFormat="1" applyFont="1" applyFill="1" applyBorder="1" applyAlignment="1" applyProtection="1">
      <alignment horizontal="center"/>
      <protection hidden="1"/>
    </xf>
    <xf numFmtId="176" fontId="0" fillId="0" borderId="0" xfId="70" applyNumberFormat="1" applyFont="1" applyFill="1" applyBorder="1" applyAlignment="1" applyProtection="1">
      <alignment horizontal="center"/>
      <protection hidden="1"/>
    </xf>
    <xf numFmtId="180" fontId="0" fillId="0" borderId="0" xfId="70" applyNumberFormat="1" applyFont="1" applyFill="1" applyBorder="1" applyAlignment="1" applyProtection="1">
      <alignment horizontal="center"/>
      <protection hidden="1"/>
    </xf>
    <xf numFmtId="2" fontId="4" fillId="34" borderId="28" xfId="70" applyNumberFormat="1" applyFont="1" applyFill="1" applyBorder="1" applyAlignment="1" applyProtection="1">
      <alignment horizontal="center" vertical="center" wrapText="1"/>
      <protection hidden="1"/>
    </xf>
    <xf numFmtId="176" fontId="4" fillId="34" borderId="25" xfId="70" applyNumberFormat="1" applyFont="1" applyFill="1" applyBorder="1" applyAlignment="1" applyProtection="1">
      <alignment horizontal="center" vertical="center" wrapText="1"/>
      <protection hidden="1"/>
    </xf>
    <xf numFmtId="2" fontId="4" fillId="34" borderId="25" xfId="70" applyNumberFormat="1" applyFont="1" applyFill="1" applyBorder="1" applyAlignment="1" applyProtection="1">
      <alignment horizontal="center" vertical="center" wrapText="1"/>
      <protection hidden="1"/>
    </xf>
    <xf numFmtId="176" fontId="4" fillId="34" borderId="26" xfId="70" applyNumberFormat="1" applyFont="1" applyFill="1" applyBorder="1" applyAlignment="1" applyProtection="1">
      <alignment horizontal="center" vertical="center" wrapText="1"/>
      <protection hidden="1"/>
    </xf>
    <xf numFmtId="0" fontId="4" fillId="34" borderId="25" xfId="0" applyFont="1" applyFill="1" applyBorder="1" applyAlignment="1" applyProtection="1">
      <alignment horizontal="center" vertical="center" wrapText="1"/>
      <protection hidden="1"/>
    </xf>
    <xf numFmtId="0" fontId="4" fillId="34" borderId="24" xfId="0" applyFont="1" applyFill="1" applyBorder="1" applyAlignment="1" applyProtection="1">
      <alignment horizontal="center" vertical="center" wrapText="1"/>
      <protection hidden="1"/>
    </xf>
    <xf numFmtId="0" fontId="4" fillId="34" borderId="27" xfId="0" applyFont="1" applyFill="1" applyBorder="1" applyAlignment="1" applyProtection="1">
      <alignment horizontal="center" vertical="center" wrapText="1"/>
      <protection hidden="1"/>
    </xf>
    <xf numFmtId="2" fontId="4" fillId="34" borderId="27" xfId="70" applyNumberFormat="1" applyFont="1" applyFill="1" applyBorder="1" applyAlignment="1" applyProtection="1">
      <alignment horizontal="center" vertical="center" wrapText="1"/>
      <protection hidden="1"/>
    </xf>
    <xf numFmtId="0" fontId="55" fillId="35" borderId="31" xfId="0" applyFont="1" applyFill="1" applyBorder="1" applyAlignment="1" applyProtection="1">
      <alignment horizontal="left"/>
      <protection hidden="1"/>
    </xf>
    <xf numFmtId="0" fontId="8" fillId="0" borderId="32" xfId="0" applyFont="1" applyBorder="1" applyAlignment="1" applyProtection="1">
      <alignment/>
      <protection hidden="1"/>
    </xf>
    <xf numFmtId="0" fontId="7" fillId="35" borderId="33" xfId="0" applyFont="1" applyFill="1" applyBorder="1" applyAlignment="1" applyProtection="1">
      <alignment horizontal="left"/>
      <protection hidden="1"/>
    </xf>
    <xf numFmtId="0" fontId="8" fillId="0" borderId="34" xfId="0" applyFont="1" applyBorder="1" applyAlignment="1" applyProtection="1">
      <alignment/>
      <protection hidden="1"/>
    </xf>
    <xf numFmtId="14" fontId="8" fillId="0" borderId="35" xfId="0" applyNumberFormat="1" applyFont="1" applyBorder="1" applyAlignment="1" applyProtection="1">
      <alignment/>
      <protection hidden="1"/>
    </xf>
    <xf numFmtId="14" fontId="8" fillId="0" borderId="34" xfId="0" applyNumberFormat="1" applyFont="1" applyBorder="1" applyAlignment="1" applyProtection="1">
      <alignment/>
      <protection hidden="1"/>
    </xf>
    <xf numFmtId="14" fontId="8" fillId="0" borderId="36" xfId="0" applyNumberFormat="1" applyFont="1" applyBorder="1" applyAlignment="1" applyProtection="1">
      <alignment/>
      <protection hidden="1"/>
    </xf>
    <xf numFmtId="0" fontId="8" fillId="0" borderId="0" xfId="0" applyFont="1" applyBorder="1" applyAlignment="1" applyProtection="1">
      <alignment/>
      <protection hidden="1"/>
    </xf>
    <xf numFmtId="0" fontId="56" fillId="36" borderId="35" xfId="0" applyFont="1" applyFill="1" applyBorder="1" applyAlignment="1" applyProtection="1">
      <alignment/>
      <protection hidden="1"/>
    </xf>
    <xf numFmtId="0" fontId="56" fillId="36" borderId="34" xfId="0" applyFont="1" applyFill="1" applyBorder="1" applyAlignment="1" applyProtection="1">
      <alignment/>
      <protection hidden="1"/>
    </xf>
    <xf numFmtId="0" fontId="9" fillId="36" borderId="34" xfId="0" applyFont="1" applyFill="1" applyBorder="1" applyAlignment="1" applyProtection="1">
      <alignment/>
      <protection hidden="1"/>
    </xf>
    <xf numFmtId="0" fontId="9" fillId="36" borderId="36" xfId="0" applyFont="1" applyFill="1" applyBorder="1" applyAlignment="1" applyProtection="1">
      <alignment/>
      <protection hidden="1"/>
    </xf>
    <xf numFmtId="0" fontId="8" fillId="0" borderId="0" xfId="0" applyFont="1" applyAlignment="1" applyProtection="1">
      <alignment/>
      <protection hidden="1"/>
    </xf>
    <xf numFmtId="0" fontId="9" fillId="37" borderId="35" xfId="0" applyFont="1" applyFill="1" applyBorder="1" applyAlignment="1" applyProtection="1">
      <alignment/>
      <protection hidden="1"/>
    </xf>
    <xf numFmtId="0" fontId="5" fillId="37" borderId="35" xfId="0" applyFont="1" applyFill="1" applyBorder="1" applyAlignment="1" applyProtection="1">
      <alignment/>
      <protection hidden="1"/>
    </xf>
    <xf numFmtId="0" fontId="56" fillId="37" borderId="34" xfId="0" applyFont="1" applyFill="1" applyBorder="1" applyAlignment="1" applyProtection="1">
      <alignment/>
      <protection hidden="1"/>
    </xf>
    <xf numFmtId="0" fontId="9" fillId="37" borderId="34" xfId="0" applyFont="1" applyFill="1" applyBorder="1" applyAlignment="1" applyProtection="1">
      <alignment/>
      <protection hidden="1"/>
    </xf>
    <xf numFmtId="0" fontId="8" fillId="0" borderId="36" xfId="0" applyFont="1" applyBorder="1" applyAlignment="1" applyProtection="1">
      <alignment/>
      <protection hidden="1"/>
    </xf>
    <xf numFmtId="0" fontId="5" fillId="37" borderId="0" xfId="0" applyFont="1" applyFill="1" applyBorder="1" applyAlignment="1" applyProtection="1">
      <alignment horizontal="center" vertical="center" wrapText="1"/>
      <protection hidden="1"/>
    </xf>
    <xf numFmtId="0" fontId="8" fillId="36" borderId="0" xfId="0" applyFont="1" applyFill="1" applyBorder="1" applyAlignment="1" applyProtection="1">
      <alignment/>
      <protection hidden="1"/>
    </xf>
    <xf numFmtId="0" fontId="10" fillId="36"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9" fillId="36" borderId="0" xfId="0" applyFont="1" applyFill="1" applyBorder="1" applyAlignment="1" applyProtection="1">
      <alignment horizontal="left" vertical="center" indent="14"/>
      <protection hidden="1"/>
    </xf>
    <xf numFmtId="0" fontId="11" fillId="36" borderId="0" xfId="0" applyFont="1" applyFill="1" applyBorder="1" applyAlignment="1" applyProtection="1">
      <alignment horizontal="left" vertical="center" indent="14"/>
      <protection hidden="1"/>
    </xf>
    <xf numFmtId="0" fontId="8" fillId="0" borderId="0" xfId="0" applyFont="1" applyFill="1" applyAlignment="1" applyProtection="1">
      <alignment/>
      <protection hidden="1"/>
    </xf>
    <xf numFmtId="14" fontId="8" fillId="37" borderId="0" xfId="0" applyNumberFormat="1" applyFont="1" applyFill="1" applyAlignment="1" applyProtection="1">
      <alignment/>
      <protection hidden="1"/>
    </xf>
    <xf numFmtId="14" fontId="8" fillId="0" borderId="0" xfId="0" applyNumberFormat="1" applyFont="1" applyFill="1" applyBorder="1" applyAlignment="1" applyProtection="1">
      <alignment/>
      <protection hidden="1"/>
    </xf>
    <xf numFmtId="0" fontId="11" fillId="36" borderId="0" xfId="0" applyFont="1" applyFill="1" applyBorder="1" applyAlignment="1" applyProtection="1">
      <alignment vertical="center"/>
      <protection hidden="1"/>
    </xf>
    <xf numFmtId="0" fontId="5" fillId="36" borderId="32" xfId="0" applyFont="1" applyFill="1" applyBorder="1" applyAlignment="1" applyProtection="1">
      <alignment/>
      <protection hidden="1"/>
    </xf>
    <xf numFmtId="14" fontId="8" fillId="0" borderId="0" xfId="0" applyNumberFormat="1" applyFont="1" applyFill="1" applyAlignment="1" applyProtection="1">
      <alignment/>
      <protection hidden="1"/>
    </xf>
    <xf numFmtId="0" fontId="8" fillId="36" borderId="37" xfId="0" applyFont="1" applyFill="1" applyBorder="1" applyAlignment="1" applyProtection="1">
      <alignment/>
      <protection hidden="1"/>
    </xf>
    <xf numFmtId="0" fontId="7" fillId="35" borderId="38" xfId="0" applyFont="1" applyFill="1" applyBorder="1" applyAlignment="1" applyProtection="1">
      <alignment horizontal="left"/>
      <protection hidden="1"/>
    </xf>
    <xf numFmtId="14" fontId="9" fillId="37" borderId="38" xfId="0" applyNumberFormat="1" applyFont="1" applyFill="1" applyBorder="1" applyAlignment="1" applyProtection="1">
      <alignment horizontal="center"/>
      <protection hidden="1" locked="0"/>
    </xf>
    <xf numFmtId="14" fontId="9" fillId="37" borderId="39" xfId="0" applyNumberFormat="1" applyFont="1" applyFill="1" applyBorder="1" applyAlignment="1" applyProtection="1">
      <alignment horizontal="center"/>
      <protection hidden="1" locked="0"/>
    </xf>
    <xf numFmtId="0" fontId="8" fillId="0" borderId="33" xfId="0" applyFont="1" applyBorder="1" applyAlignment="1" applyProtection="1">
      <alignment/>
      <protection hidden="1"/>
    </xf>
    <xf numFmtId="0" fontId="1" fillId="0" borderId="0" xfId="46" applyFont="1" applyBorder="1" applyAlignment="1" applyProtection="1">
      <alignment horizontal="center" vertical="center"/>
      <protection hidden="1"/>
    </xf>
    <xf numFmtId="9" fontId="8" fillId="0" borderId="0" xfId="0" applyNumberFormat="1" applyFont="1" applyFill="1" applyBorder="1" applyAlignment="1" applyProtection="1">
      <alignment horizontal="left"/>
      <protection hidden="1"/>
    </xf>
    <xf numFmtId="14" fontId="8" fillId="0" borderId="40" xfId="0" applyNumberFormat="1" applyFont="1" applyBorder="1" applyAlignment="1" applyProtection="1">
      <alignment horizontal="right" indent="1"/>
      <protection hidden="1"/>
    </xf>
    <xf numFmtId="0" fontId="8" fillId="0" borderId="37" xfId="0" applyFont="1" applyBorder="1" applyAlignment="1" applyProtection="1">
      <alignment/>
      <protection hidden="1"/>
    </xf>
    <xf numFmtId="9" fontId="5" fillId="37" borderId="40" xfId="63" applyFont="1" applyFill="1" applyBorder="1" applyAlignment="1" applyProtection="1">
      <alignment horizontal="right" indent="1"/>
      <protection hidden="1" locked="0"/>
    </xf>
    <xf numFmtId="0" fontId="8" fillId="0" borderId="37" xfId="0" applyNumberFormat="1" applyFont="1" applyBorder="1" applyAlignment="1" applyProtection="1">
      <alignment horizontal="right" indent="1"/>
      <protection hidden="1"/>
    </xf>
    <xf numFmtId="177" fontId="13" fillId="37" borderId="37" xfId="0" applyNumberFormat="1" applyFont="1" applyFill="1" applyBorder="1" applyAlignment="1" applyProtection="1">
      <alignment horizontal="right" indent="1"/>
      <protection hidden="1" locked="0"/>
    </xf>
    <xf numFmtId="14" fontId="8" fillId="0" borderId="37" xfId="0" applyNumberFormat="1" applyFont="1" applyBorder="1" applyAlignment="1" applyProtection="1">
      <alignment horizontal="right" indent="1"/>
      <protection hidden="1"/>
    </xf>
    <xf numFmtId="14" fontId="8" fillId="0" borderId="37" xfId="0" applyNumberFormat="1" applyFont="1" applyBorder="1" applyAlignment="1" applyProtection="1">
      <alignment horizontal="center"/>
      <protection hidden="1"/>
    </xf>
    <xf numFmtId="182" fontId="9" fillId="37" borderId="37" xfId="49" applyNumberFormat="1" applyFont="1" applyFill="1" applyBorder="1" applyAlignment="1" applyProtection="1">
      <alignment horizontal="right" indent="1"/>
      <protection hidden="1" locked="0"/>
    </xf>
    <xf numFmtId="182" fontId="8" fillId="0" borderId="41" xfId="49" applyNumberFormat="1" applyFont="1" applyBorder="1" applyAlignment="1" applyProtection="1">
      <alignment horizontal="right" indent="1"/>
      <protection hidden="1" locked="0"/>
    </xf>
    <xf numFmtId="177" fontId="8" fillId="0" borderId="37" xfId="63" applyNumberFormat="1" applyFont="1" applyBorder="1" applyAlignment="1" applyProtection="1">
      <alignment horizontal="right" indent="1"/>
      <protection hidden="1"/>
    </xf>
    <xf numFmtId="14" fontId="5" fillId="0" borderId="37" xfId="0" applyNumberFormat="1" applyFont="1" applyBorder="1" applyAlignment="1" applyProtection="1">
      <alignment horizontal="right" indent="1"/>
      <protection hidden="1"/>
    </xf>
    <xf numFmtId="181" fontId="8" fillId="0" borderId="37" xfId="49" applyNumberFormat="1" applyFont="1" applyBorder="1" applyAlignment="1" applyProtection="1">
      <alignment horizontal="right" indent="1"/>
      <protection hidden="1"/>
    </xf>
    <xf numFmtId="14" fontId="8" fillId="0" borderId="41" xfId="0" applyNumberFormat="1" applyFont="1" applyBorder="1" applyAlignment="1" applyProtection="1">
      <alignment horizontal="right" indent="1"/>
      <protection hidden="1"/>
    </xf>
    <xf numFmtId="189" fontId="10" fillId="37" borderId="37" xfId="49" applyNumberFormat="1" applyFont="1" applyFill="1" applyBorder="1" applyAlignment="1" applyProtection="1">
      <alignment horizontal="right" indent="1"/>
      <protection hidden="1" locked="0"/>
    </xf>
    <xf numFmtId="189" fontId="8" fillId="0" borderId="41" xfId="49" applyNumberFormat="1" applyFont="1" applyBorder="1" applyAlignment="1" applyProtection="1">
      <alignment horizontal="right" indent="1"/>
      <protection hidden="1"/>
    </xf>
    <xf numFmtId="2" fontId="9" fillId="36" borderId="40" xfId="0" applyNumberFormat="1" applyFont="1" applyFill="1" applyBorder="1" applyAlignment="1" applyProtection="1">
      <alignment horizontal="right" indent="1"/>
      <protection hidden="1"/>
    </xf>
    <xf numFmtId="14" fontId="8" fillId="0" borderId="42" xfId="0" applyNumberFormat="1" applyFont="1" applyBorder="1" applyAlignment="1" applyProtection="1">
      <alignment/>
      <protection hidden="1"/>
    </xf>
    <xf numFmtId="2" fontId="9" fillId="36" borderId="37" xfId="0" applyNumberFormat="1" applyFont="1" applyFill="1" applyBorder="1" applyAlignment="1" applyProtection="1">
      <alignment horizontal="right" indent="1"/>
      <protection hidden="1"/>
    </xf>
    <xf numFmtId="2" fontId="9" fillId="36" borderId="0" xfId="0" applyNumberFormat="1" applyFont="1" applyFill="1" applyBorder="1" applyAlignment="1" applyProtection="1">
      <alignment horizontal="center"/>
      <protection hidden="1"/>
    </xf>
    <xf numFmtId="2" fontId="9" fillId="36" borderId="41" xfId="0" applyNumberFormat="1" applyFont="1" applyFill="1" applyBorder="1" applyAlignment="1" applyProtection="1">
      <alignment horizontal="right" indent="1"/>
      <protection hidden="1"/>
    </xf>
    <xf numFmtId="182" fontId="8" fillId="0" borderId="38" xfId="49" applyNumberFormat="1" applyFont="1" applyBorder="1" applyAlignment="1" applyProtection="1">
      <alignment horizontal="right" indent="1"/>
      <protection hidden="1"/>
    </xf>
    <xf numFmtId="0" fontId="14" fillId="36" borderId="0" xfId="0" applyFont="1" applyFill="1" applyAlignment="1" applyProtection="1">
      <alignment horizontal="right"/>
      <protection hidden="1"/>
    </xf>
    <xf numFmtId="0" fontId="14" fillId="0" borderId="0" xfId="0" applyFont="1" applyAlignment="1" applyProtection="1">
      <alignment/>
      <protection hidden="1"/>
    </xf>
    <xf numFmtId="0" fontId="0" fillId="38" borderId="0" xfId="0" applyFont="1" applyFill="1" applyAlignment="1" applyProtection="1">
      <alignment/>
      <protection hidden="1"/>
    </xf>
    <xf numFmtId="14" fontId="0" fillId="34" borderId="13" xfId="0" applyNumberFormat="1" applyFont="1" applyFill="1" applyBorder="1" applyAlignment="1">
      <alignment horizontal="center"/>
    </xf>
    <xf numFmtId="14" fontId="0" fillId="0" borderId="19" xfId="0" applyNumberFormat="1" applyFont="1" applyFill="1" applyBorder="1" applyAlignment="1" applyProtection="1">
      <alignment horizontal="center"/>
      <protection hidden="1"/>
    </xf>
    <xf numFmtId="184" fontId="57" fillId="38" borderId="43" xfId="70" applyNumberFormat="1" applyFont="1" applyFill="1" applyBorder="1" applyAlignment="1" applyProtection="1">
      <alignment horizontal="center"/>
      <protection/>
    </xf>
    <xf numFmtId="0" fontId="0" fillId="39" borderId="0" xfId="0" applyFont="1" applyFill="1" applyAlignment="1" applyProtection="1">
      <alignment/>
      <protection hidden="1"/>
    </xf>
    <xf numFmtId="14" fontId="0" fillId="0" borderId="13" xfId="0" applyNumberFormat="1" applyFont="1" applyFill="1" applyBorder="1" applyAlignment="1">
      <alignment horizontal="center"/>
    </xf>
    <xf numFmtId="0" fontId="0" fillId="8" borderId="0" xfId="0" applyFont="1" applyFill="1" applyAlignment="1" applyProtection="1">
      <alignment/>
      <protection hidden="1"/>
    </xf>
    <xf numFmtId="14" fontId="0" fillId="36" borderId="19" xfId="0" applyNumberFormat="1" applyFont="1" applyFill="1" applyBorder="1" applyAlignment="1" applyProtection="1">
      <alignment horizontal="center"/>
      <protection hidden="1"/>
    </xf>
    <xf numFmtId="14" fontId="0" fillId="38" borderId="19" xfId="0" applyNumberFormat="1" applyFont="1" applyFill="1" applyBorder="1" applyAlignment="1" applyProtection="1">
      <alignment horizontal="center"/>
      <protection hidden="1"/>
    </xf>
    <xf numFmtId="170" fontId="0" fillId="38" borderId="16" xfId="49" applyNumberFormat="1" applyFont="1" applyFill="1" applyBorder="1" applyAlignment="1" applyProtection="1">
      <alignment horizontal="center"/>
      <protection hidden="1"/>
    </xf>
    <xf numFmtId="184" fontId="0" fillId="38" borderId="16" xfId="63" applyNumberFormat="1" applyFont="1" applyFill="1" applyBorder="1" applyAlignment="1" applyProtection="1">
      <alignment/>
      <protection hidden="1"/>
    </xf>
    <xf numFmtId="188" fontId="0" fillId="38" borderId="16" xfId="49" applyNumberFormat="1" applyFont="1" applyFill="1" applyBorder="1" applyAlignment="1" applyProtection="1">
      <alignment/>
      <protection hidden="1"/>
    </xf>
    <xf numFmtId="188" fontId="0" fillId="38" borderId="16" xfId="49" applyNumberFormat="1" applyFont="1" applyFill="1" applyBorder="1" applyAlignment="1" applyProtection="1">
      <alignment horizontal="right"/>
      <protection hidden="1"/>
    </xf>
    <xf numFmtId="188" fontId="0" fillId="38" borderId="17" xfId="49" applyNumberFormat="1" applyFont="1" applyFill="1" applyBorder="1" applyAlignment="1" applyProtection="1">
      <alignment horizontal="right"/>
      <protection hidden="1"/>
    </xf>
    <xf numFmtId="14" fontId="0" fillId="38" borderId="16" xfId="0" applyNumberFormat="1"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171" fontId="0" fillId="38" borderId="19" xfId="0" applyNumberFormat="1" applyFont="1" applyFill="1" applyBorder="1" applyAlignment="1" applyProtection="1">
      <alignment/>
      <protection hidden="1"/>
    </xf>
    <xf numFmtId="171" fontId="0" fillId="38" borderId="16" xfId="0" applyNumberFormat="1" applyFont="1" applyFill="1" applyBorder="1" applyAlignment="1" applyProtection="1">
      <alignment/>
      <protection hidden="1"/>
    </xf>
    <xf numFmtId="171" fontId="0" fillId="38" borderId="18" xfId="0" applyNumberFormat="1" applyFont="1" applyFill="1" applyBorder="1" applyAlignment="1" applyProtection="1">
      <alignment/>
      <protection hidden="1"/>
    </xf>
    <xf numFmtId="0" fontId="6" fillId="0" borderId="0" xfId="0" applyFont="1" applyAlignment="1">
      <alignment/>
    </xf>
    <xf numFmtId="0" fontId="6" fillId="33" borderId="0" xfId="0" applyFont="1" applyFill="1" applyAlignment="1">
      <alignment/>
    </xf>
    <xf numFmtId="0" fontId="6" fillId="34" borderId="0" xfId="0" applyFont="1" applyFill="1" applyAlignment="1">
      <alignment/>
    </xf>
    <xf numFmtId="184" fontId="6" fillId="36" borderId="0" xfId="0" applyNumberFormat="1" applyFont="1" applyFill="1" applyAlignment="1">
      <alignment/>
    </xf>
    <xf numFmtId="192" fontId="6" fillId="36" borderId="0" xfId="0" applyNumberFormat="1" applyFont="1" applyFill="1" applyAlignment="1">
      <alignment/>
    </xf>
    <xf numFmtId="191" fontId="6" fillId="36" borderId="0" xfId="0" applyNumberFormat="1" applyFont="1" applyFill="1" applyAlignment="1">
      <alignment/>
    </xf>
    <xf numFmtId="0" fontId="19" fillId="36" borderId="0" xfId="0" applyFont="1" applyFill="1" applyAlignment="1">
      <alignment/>
    </xf>
    <xf numFmtId="14" fontId="0" fillId="38" borderId="13" xfId="0" applyNumberFormat="1" applyFont="1" applyFill="1" applyBorder="1" applyAlignment="1">
      <alignment horizontal="center"/>
    </xf>
    <xf numFmtId="179" fontId="0" fillId="38" borderId="0" xfId="0" applyNumberFormat="1" applyFont="1" applyFill="1" applyBorder="1" applyAlignment="1" applyProtection="1">
      <alignment horizontal="center"/>
      <protection hidden="1"/>
    </xf>
    <xf numFmtId="184" fontId="6" fillId="33" borderId="0" xfId="0" applyNumberFormat="1" applyFont="1" applyFill="1" applyAlignment="1">
      <alignment/>
    </xf>
    <xf numFmtId="0" fontId="6" fillId="38" borderId="0" xfId="0" applyFont="1" applyFill="1" applyAlignment="1">
      <alignment/>
    </xf>
    <xf numFmtId="184" fontId="18" fillId="0" borderId="44" xfId="63" applyNumberFormat="1" applyFont="1" applyFill="1" applyBorder="1" applyAlignment="1" applyProtection="1">
      <alignment horizontal="center"/>
      <protection/>
    </xf>
    <xf numFmtId="184" fontId="18" fillId="33" borderId="44" xfId="63" applyNumberFormat="1" applyFont="1" applyFill="1" applyBorder="1" applyAlignment="1" applyProtection="1">
      <alignment horizontal="center"/>
      <protection/>
    </xf>
    <xf numFmtId="177" fontId="6" fillId="33" borderId="0" xfId="63" applyNumberFormat="1" applyFont="1" applyFill="1" applyAlignment="1">
      <alignment/>
    </xf>
    <xf numFmtId="186" fontId="6" fillId="33" borderId="0" xfId="49" applyNumberFormat="1" applyFont="1" applyFill="1" applyAlignment="1">
      <alignment/>
    </xf>
    <xf numFmtId="184" fontId="18" fillId="36" borderId="44" xfId="63" applyNumberFormat="1" applyFont="1" applyFill="1" applyBorder="1" applyAlignment="1" applyProtection="1">
      <alignment horizontal="center"/>
      <protection/>
    </xf>
    <xf numFmtId="177" fontId="6" fillId="34" borderId="0" xfId="63" applyNumberFormat="1" applyFont="1" applyFill="1" applyAlignment="1">
      <alignment/>
    </xf>
    <xf numFmtId="177" fontId="19" fillId="36" borderId="0" xfId="63" applyNumberFormat="1" applyFont="1" applyFill="1" applyAlignment="1">
      <alignment/>
    </xf>
    <xf numFmtId="184" fontId="18" fillId="36" borderId="43" xfId="63" applyNumberFormat="1" applyFont="1" applyFill="1" applyBorder="1" applyAlignment="1" applyProtection="1">
      <alignment horizontal="center"/>
      <protection/>
    </xf>
    <xf numFmtId="184" fontId="18" fillId="38" borderId="44" xfId="63" applyNumberFormat="1" applyFont="1" applyFill="1" applyBorder="1" applyAlignment="1" applyProtection="1">
      <alignment horizontal="center"/>
      <protection/>
    </xf>
    <xf numFmtId="177" fontId="6" fillId="38" borderId="0" xfId="63" applyNumberFormat="1" applyFont="1" applyFill="1" applyAlignment="1">
      <alignment/>
    </xf>
    <xf numFmtId="184" fontId="0" fillId="40" borderId="45" xfId="0" applyNumberFormat="1" applyFont="1" applyFill="1" applyBorder="1" applyAlignment="1">
      <alignment/>
    </xf>
    <xf numFmtId="184" fontId="0" fillId="40" borderId="46" xfId="0" applyNumberFormat="1" applyFont="1" applyFill="1" applyBorder="1" applyAlignment="1">
      <alignment/>
    </xf>
    <xf numFmtId="184" fontId="0" fillId="41" borderId="45" xfId="0" applyNumberFormat="1" applyFont="1" applyFill="1" applyBorder="1" applyAlignment="1">
      <alignment/>
    </xf>
    <xf numFmtId="184" fontId="0" fillId="0" borderId="45" xfId="0" applyNumberFormat="1" applyFont="1" applyFill="1" applyBorder="1" applyAlignment="1">
      <alignment/>
    </xf>
    <xf numFmtId="0" fontId="6" fillId="0" borderId="0" xfId="0" applyFont="1" applyFill="1" applyAlignment="1">
      <alignment/>
    </xf>
    <xf numFmtId="177" fontId="6" fillId="0" borderId="0" xfId="63" applyNumberFormat="1" applyFont="1" applyFill="1" applyAlignment="1">
      <alignment/>
    </xf>
    <xf numFmtId="0" fontId="7" fillId="35" borderId="0" xfId="0" applyFont="1" applyFill="1" applyBorder="1" applyAlignment="1" applyProtection="1">
      <alignment horizontal="center" vertical="center"/>
      <protection hidden="1"/>
    </xf>
    <xf numFmtId="0" fontId="7" fillId="35" borderId="31" xfId="0" applyFont="1" applyFill="1" applyBorder="1" applyAlignment="1" applyProtection="1">
      <alignment horizontal="center"/>
      <protection hidden="1"/>
    </xf>
    <xf numFmtId="0" fontId="7" fillId="35" borderId="38" xfId="0" applyFont="1" applyFill="1" applyBorder="1" applyAlignment="1" applyProtection="1">
      <alignment horizontal="center"/>
      <protection hidden="1"/>
    </xf>
    <xf numFmtId="0" fontId="55" fillId="35" borderId="47" xfId="0" applyFont="1" applyFill="1" applyBorder="1" applyAlignment="1" applyProtection="1">
      <alignment horizontal="center"/>
      <protection hidden="1"/>
    </xf>
    <xf numFmtId="0" fontId="55" fillId="35" borderId="40" xfId="0"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48" xfId="0" applyFont="1" applyFill="1" applyBorder="1" applyAlignment="1" applyProtection="1">
      <alignment horizontal="center"/>
      <protection hidden="1"/>
    </xf>
    <xf numFmtId="0" fontId="0" fillId="0" borderId="0" xfId="0" applyNumberFormat="1" applyFill="1" applyAlignment="1" applyProtection="1">
      <alignment horizontal="justify" vertical="justify" wrapText="1"/>
      <protection hidden="1"/>
    </xf>
    <xf numFmtId="0" fontId="0" fillId="0" borderId="0" xfId="0" applyFill="1" applyAlignment="1" applyProtection="1">
      <alignment horizontal="justify" vertical="justify" wrapText="1"/>
      <protection hidden="1"/>
    </xf>
    <xf numFmtId="0" fontId="0" fillId="0" borderId="0" xfId="0" applyNumberFormat="1" applyFont="1" applyFill="1" applyAlignment="1" applyProtection="1">
      <alignment horizontal="justify" vertical="justify" wrapText="1"/>
      <protection hidden="1"/>
    </xf>
    <xf numFmtId="176" fontId="0" fillId="0" borderId="29" xfId="70" applyNumberFormat="1" applyFont="1" applyFill="1" applyBorder="1" applyAlignment="1" applyProtection="1">
      <alignment horizontal="center" vertical="center" wrapText="1"/>
      <protection hidden="1"/>
    </xf>
    <xf numFmtId="0" fontId="0" fillId="0" borderId="43" xfId="0" applyFont="1" applyFill="1" applyBorder="1" applyAlignment="1" applyProtection="1">
      <alignment horizontal="center" vertical="center" wrapText="1"/>
      <protection hidden="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4" xfId="54"/>
    <cellStyle name="Millares 5" xfId="55"/>
    <cellStyle name="Currency" xfId="56"/>
    <cellStyle name="Currency [0]" xfId="57"/>
    <cellStyle name="Moneda 2" xfId="58"/>
    <cellStyle name="Neutral" xfId="59"/>
    <cellStyle name="Normal 2" xfId="60"/>
    <cellStyle name="Normal 3" xfId="61"/>
    <cellStyle name="Notas" xfId="62"/>
    <cellStyle name="Percent" xfId="63"/>
    <cellStyle name="Porcentaje 2" xfId="64"/>
    <cellStyle name="Porcentaje 3" xfId="65"/>
    <cellStyle name="Porcentaje 4" xfId="66"/>
    <cellStyle name="Porcentaje 4 2" xfId="67"/>
    <cellStyle name="Porcentaje 5" xfId="68"/>
    <cellStyle name="Porcentaje 6" xfId="69"/>
    <cellStyle name="Porcentaje 8" xfId="70"/>
    <cellStyle name="Salida" xfId="71"/>
    <cellStyle name="Style 1" xfId="72"/>
    <cellStyle name="Style 1 2" xfId="73"/>
    <cellStyle name="Style 1 3" xfId="74"/>
    <cellStyle name="Style 1 4" xfId="75"/>
    <cellStyle name="Texto de advertencia" xfId="76"/>
    <cellStyle name="Texto explicativo" xfId="77"/>
    <cellStyle name="Título" xfId="78"/>
    <cellStyle name="Título 2" xfId="79"/>
    <cellStyle name="Título 3" xfId="80"/>
    <cellStyle name="Total" xfId="81"/>
  </cellStyles>
  <dxfs count="7">
    <dxf>
      <font>
        <b/>
        <i val="0"/>
      </font>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0</xdr:rowOff>
    </xdr:from>
    <xdr:to>
      <xdr:col>1</xdr:col>
      <xdr:colOff>3009900</xdr:colOff>
      <xdr:row>5</xdr:row>
      <xdr:rowOff>85725</xdr:rowOff>
    </xdr:to>
    <xdr:pic>
      <xdr:nvPicPr>
        <xdr:cNvPr id="1" name="1 Imagen"/>
        <xdr:cNvPicPr preferRelativeResize="1">
          <a:picLocks noChangeAspect="1"/>
        </xdr:cNvPicPr>
      </xdr:nvPicPr>
      <xdr:blipFill>
        <a:blip r:embed="rId1"/>
        <a:stretch>
          <a:fillRect/>
        </a:stretch>
      </xdr:blipFill>
      <xdr:spPr>
        <a:xfrm>
          <a:off x="333375" y="0"/>
          <a:ext cx="29241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K24"/>
  <sheetViews>
    <sheetView showGridLines="0" tabSelected="1" zoomScale="85" zoomScaleNormal="85" zoomScalePageLayoutView="0" workbookViewId="0" topLeftCell="A1">
      <selection activeCell="E7" sqref="E7"/>
    </sheetView>
  </sheetViews>
  <sheetFormatPr defaultColWidth="0" defaultRowHeight="12.75" zeroHeight="1"/>
  <cols>
    <col min="1" max="1" width="3.7109375" style="118" customWidth="1"/>
    <col min="2" max="2" width="49.140625" style="118" customWidth="1"/>
    <col min="3" max="3" width="33.8515625" style="118" customWidth="1"/>
    <col min="4" max="4" width="3.7109375" style="118" customWidth="1"/>
    <col min="5" max="5" width="64.28125" style="118" customWidth="1"/>
    <col min="6" max="6" width="20.7109375" style="118" bestFit="1" customWidth="1"/>
    <col min="7" max="7" width="4.421875" style="118" hidden="1" customWidth="1"/>
    <col min="8" max="8" width="21.00390625" style="132" hidden="1" customWidth="1"/>
    <col min="9" max="10" width="8.140625" style="132" hidden="1" customWidth="1"/>
    <col min="11" max="11" width="8.140625" style="134" hidden="1" customWidth="1"/>
    <col min="12" max="255" width="8.140625" style="127" hidden="1" customWidth="1"/>
    <col min="256" max="16384" width="0" style="127" hidden="1" customWidth="1"/>
  </cols>
  <sheetData>
    <row r="1" spans="1:11" ht="12.75">
      <c r="A1" s="125"/>
      <c r="B1" s="126"/>
      <c r="C1" s="126"/>
      <c r="D1" s="126"/>
      <c r="E1" s="126"/>
      <c r="F1" s="126"/>
      <c r="G1" s="126"/>
      <c r="H1" s="127" t="str">
        <f>+Características!B1</f>
        <v>TIS Pesos H-2 A 2028</v>
      </c>
      <c r="I1" s="127"/>
      <c r="J1" s="128"/>
      <c r="K1" s="129"/>
    </row>
    <row r="2" spans="1:10" ht="12.75">
      <c r="A2" s="125"/>
      <c r="B2" s="130"/>
      <c r="C2" s="215" t="s">
        <v>84</v>
      </c>
      <c r="D2" s="215"/>
      <c r="E2" s="215"/>
      <c r="F2" s="131"/>
      <c r="G2" s="131"/>
      <c r="J2" s="133"/>
    </row>
    <row r="3" spans="1:10" ht="15" customHeight="1">
      <c r="A3" s="125"/>
      <c r="B3" s="135"/>
      <c r="C3" s="136"/>
      <c r="D3" s="136"/>
      <c r="E3" s="135"/>
      <c r="F3" s="135"/>
      <c r="G3" s="135"/>
      <c r="J3" s="137"/>
    </row>
    <row r="4" spans="1:10" ht="15" customHeight="1">
      <c r="A4" s="125"/>
      <c r="B4" s="138"/>
      <c r="C4" s="106" t="s">
        <v>57</v>
      </c>
      <c r="D4" s="139"/>
      <c r="E4" s="140" t="s">
        <v>85</v>
      </c>
      <c r="G4" s="113"/>
      <c r="H4" s="127" t="s">
        <v>20</v>
      </c>
      <c r="J4" s="137"/>
    </row>
    <row r="5" spans="1:10" ht="15" customHeight="1">
      <c r="A5" s="125"/>
      <c r="B5" s="125"/>
      <c r="C5" s="107"/>
      <c r="F5" s="113"/>
      <c r="G5" s="113"/>
      <c r="H5" s="127" t="s">
        <v>38</v>
      </c>
      <c r="J5" s="137"/>
    </row>
    <row r="6" spans="1:10" ht="15" customHeight="1">
      <c r="A6" s="125"/>
      <c r="B6" s="138"/>
      <c r="C6" s="108" t="s">
        <v>58</v>
      </c>
      <c r="D6" s="108"/>
      <c r="E6" s="141">
        <v>45248</v>
      </c>
      <c r="F6" s="113"/>
      <c r="G6" s="113"/>
      <c r="H6" s="127" t="s">
        <v>39</v>
      </c>
      <c r="J6" s="137"/>
    </row>
    <row r="7" spans="1:10" ht="15" customHeight="1">
      <c r="A7" s="125"/>
      <c r="B7" s="125"/>
      <c r="C7" s="142"/>
      <c r="D7" s="142"/>
      <c r="E7" s="113"/>
      <c r="F7" s="113"/>
      <c r="G7" s="113"/>
      <c r="H7" s="127" t="s">
        <v>40</v>
      </c>
      <c r="J7" s="137"/>
    </row>
    <row r="8" spans="1:10" ht="27" customHeight="1">
      <c r="A8" s="125"/>
      <c r="B8" s="125"/>
      <c r="D8" s="113"/>
      <c r="E8" s="143" t="s">
        <v>81</v>
      </c>
      <c r="F8" s="124" t="s">
        <v>80</v>
      </c>
      <c r="G8" s="113"/>
      <c r="H8" s="144" t="s">
        <v>82</v>
      </c>
      <c r="J8" s="137"/>
    </row>
    <row r="9" spans="1:10" ht="15" customHeight="1">
      <c r="A9" s="125"/>
      <c r="B9" s="216" t="s">
        <v>59</v>
      </c>
      <c r="C9" s="217"/>
      <c r="D9" s="109"/>
      <c r="E9" s="218" t="s">
        <v>60</v>
      </c>
      <c r="F9" s="219"/>
      <c r="G9" s="113"/>
      <c r="H9" s="127" t="s">
        <v>21</v>
      </c>
      <c r="J9" s="137"/>
    </row>
    <row r="10" spans="1:10" ht="15" customHeight="1">
      <c r="A10" s="125"/>
      <c r="B10" s="110" t="s">
        <v>61</v>
      </c>
      <c r="C10" s="145" t="s">
        <v>86</v>
      </c>
      <c r="D10" s="146"/>
      <c r="E10" s="120" t="s">
        <v>72</v>
      </c>
      <c r="F10" s="147" t="s">
        <v>21</v>
      </c>
      <c r="G10" s="113"/>
      <c r="J10" s="137"/>
    </row>
    <row r="11" spans="1:10" ht="15" customHeight="1">
      <c r="A11" s="138"/>
      <c r="B11" s="111" t="s">
        <v>46</v>
      </c>
      <c r="C11" s="148" t="str">
        <f>+HLOOKUP(E4,Características!B1:C7,3,FALSE)</f>
        <v>COT80CHGRALTITIPXXX</v>
      </c>
      <c r="D11" s="146"/>
      <c r="E11" s="121" t="s">
        <v>73</v>
      </c>
      <c r="F11" s="149">
        <v>0.1065</v>
      </c>
      <c r="G11" s="113"/>
      <c r="J11" s="137"/>
    </row>
    <row r="12" spans="1:10" ht="15" customHeight="1">
      <c r="A12" s="138"/>
      <c r="B12" s="111" t="s">
        <v>62</v>
      </c>
      <c r="C12" s="150">
        <f>+HLOOKUP(E4,Características!B1:C7,4,1)</f>
        <v>43238</v>
      </c>
      <c r="D12" s="151"/>
      <c r="E12" s="122" t="s">
        <v>74</v>
      </c>
      <c r="F12" s="152">
        <v>96.09</v>
      </c>
      <c r="G12" s="113"/>
      <c r="J12" s="137"/>
    </row>
    <row r="13" spans="1:10" ht="12.75">
      <c r="A13" s="138"/>
      <c r="B13" s="111" t="s">
        <v>63</v>
      </c>
      <c r="C13" s="150">
        <f>+HLOOKUP(E4,Características!B1:C7,5,FALSE)</f>
        <v>46891</v>
      </c>
      <c r="D13" s="151"/>
      <c r="E13" s="123" t="s">
        <v>75</v>
      </c>
      <c r="F13" s="153">
        <v>96.639</v>
      </c>
      <c r="G13" s="113"/>
      <c r="J13" s="137"/>
    </row>
    <row r="14" spans="1:10" ht="12.75">
      <c r="A14" s="138"/>
      <c r="B14" s="111" t="s">
        <v>64</v>
      </c>
      <c r="C14" s="154">
        <f>+Características!B6</f>
        <v>0.0729</v>
      </c>
      <c r="D14" s="151"/>
      <c r="E14" s="110" t="s">
        <v>76</v>
      </c>
      <c r="F14" s="155">
        <f>+VLOOKUP(0,Flujos!D2:I182,6,0)</f>
        <v>46283</v>
      </c>
      <c r="G14" s="113"/>
      <c r="J14" s="137"/>
    </row>
    <row r="15" spans="1:10" ht="12.75">
      <c r="A15" s="138"/>
      <c r="B15" s="111" t="s">
        <v>65</v>
      </c>
      <c r="C15" s="154">
        <f>+ROUND(((1+C14)^(1/12)-1)*12,6)</f>
        <v>0.070572</v>
      </c>
      <c r="D15" s="151"/>
      <c r="E15" s="109" t="s">
        <v>77</v>
      </c>
      <c r="F15" s="156">
        <f>+Flujos!C183*100</f>
        <v>27.264491999999997</v>
      </c>
      <c r="G15" s="113"/>
      <c r="J15" s="137"/>
    </row>
    <row r="16" spans="1:10" ht="12.75">
      <c r="A16" s="138"/>
      <c r="B16" s="112" t="s">
        <v>66</v>
      </c>
      <c r="C16" s="157" t="str">
        <f>+HLOOKUP(E4,Características!B1:C7,7,FALSE)</f>
        <v>COP</v>
      </c>
      <c r="D16" s="151"/>
      <c r="E16" s="121" t="s">
        <v>78</v>
      </c>
      <c r="F16" s="158">
        <v>1000000000</v>
      </c>
      <c r="G16" s="113"/>
      <c r="J16" s="137"/>
    </row>
    <row r="17" spans="1:10" ht="12.75">
      <c r="A17" s="125"/>
      <c r="B17" s="113"/>
      <c r="C17" s="113"/>
      <c r="D17" s="151"/>
      <c r="E17" s="123" t="s">
        <v>79</v>
      </c>
      <c r="F17" s="159">
        <f>+Características!B20</f>
        <v>960900000</v>
      </c>
      <c r="G17" s="113"/>
      <c r="J17" s="137"/>
    </row>
    <row r="18" spans="1:10" ht="16.5" customHeight="1">
      <c r="A18" s="138"/>
      <c r="B18" s="114" t="s">
        <v>67</v>
      </c>
      <c r="C18" s="160">
        <f>+SUMPRODUCT(Flujos!B2:B182,Flujos!C2:C182)/Flujos!C183/365</f>
        <v>1.3420086829419016</v>
      </c>
      <c r="D18" s="161"/>
      <c r="E18" s="113"/>
      <c r="F18" s="142"/>
      <c r="G18" s="113"/>
      <c r="J18" s="137"/>
    </row>
    <row r="19" spans="1:10" ht="16.5" customHeight="1">
      <c r="A19" s="138"/>
      <c r="B19" s="115" t="s">
        <v>68</v>
      </c>
      <c r="C19" s="162">
        <f>+SUMPRODUCT(Flujos!C2:C182,Flujos!K2:K182)/365</f>
        <v>3.9007882283561637</v>
      </c>
      <c r="D19" s="125"/>
      <c r="E19" s="113"/>
      <c r="F19" s="163"/>
      <c r="G19" s="113"/>
      <c r="J19" s="137"/>
    </row>
    <row r="20" spans="1:10" ht="16.5" customHeight="1">
      <c r="A20" s="138"/>
      <c r="B20" s="116" t="s">
        <v>69</v>
      </c>
      <c r="C20" s="162">
        <f>+SUMPRODUCT(Flujos!B2:B182,Flujos!H2:H182)/Flujos!H183/365</f>
        <v>1.2446586928088321</v>
      </c>
      <c r="D20" s="125"/>
      <c r="E20" s="113"/>
      <c r="F20" s="163"/>
      <c r="G20" s="113"/>
      <c r="J20" s="137"/>
    </row>
    <row r="21" spans="1:10" ht="16.5" customHeight="1">
      <c r="A21" s="138"/>
      <c r="B21" s="117" t="s">
        <v>70</v>
      </c>
      <c r="C21" s="164">
        <f>+C20/(1+F11)</f>
        <v>1.124860996664105</v>
      </c>
      <c r="E21" s="113"/>
      <c r="F21" s="163"/>
      <c r="G21" s="113"/>
      <c r="J21" s="137"/>
    </row>
    <row r="22" ht="12.75">
      <c r="J22" s="137"/>
    </row>
    <row r="23" spans="2:10" ht="12.75">
      <c r="B23" s="119" t="s">
        <v>71</v>
      </c>
      <c r="C23" s="165">
        <f>Flujos!L2</f>
        <v>3667774187.760403</v>
      </c>
      <c r="J23" s="137"/>
    </row>
    <row r="24" spans="5:10" ht="12.75">
      <c r="E24" s="166"/>
      <c r="F24" s="167"/>
      <c r="J24" s="137"/>
    </row>
  </sheetData>
  <sheetProtection password="C5F9" sheet="1" objects="1" scenarios="1"/>
  <protectedRanges>
    <protectedRange sqref="E6 E4" name="Rango1"/>
  </protectedRanges>
  <mergeCells count="3">
    <mergeCell ref="C2:E2"/>
    <mergeCell ref="B9:C9"/>
    <mergeCell ref="E9:F9"/>
  </mergeCells>
  <dataValidations count="2">
    <dataValidation type="list" showInputMessage="1" showErrorMessage="1" sqref="E4">
      <formula1>$H$1</formula1>
    </dataValidation>
    <dataValidation type="list" allowBlank="1" showInputMessage="1" showErrorMessage="1" sqref="F10">
      <formula1>$H$4:$H$9</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F17" unlockedFormula="1"/>
    <ignoredError sqref="C11:C13 C15:C16" emptyCellReference="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16">
      <selection activeCell="B39" sqref="B39"/>
    </sheetView>
  </sheetViews>
  <sheetFormatPr defaultColWidth="21.140625" defaultRowHeight="12.75"/>
  <cols>
    <col min="1" max="1" width="25.7109375" style="1" customWidth="1"/>
    <col min="2" max="2" width="26.421875" style="6" bestFit="1" customWidth="1"/>
    <col min="3" max="3" width="21.421875" style="6" bestFit="1" customWidth="1"/>
    <col min="4" max="4" width="21.140625" style="1" customWidth="1"/>
    <col min="5" max="6" width="11.00390625" style="1" bestFit="1" customWidth="1"/>
    <col min="7" max="16384" width="21.140625" style="1" customWidth="1"/>
  </cols>
  <sheetData>
    <row r="1" spans="1:6" ht="12.75">
      <c r="A1" s="26" t="s">
        <v>2</v>
      </c>
      <c r="B1" s="2" t="s">
        <v>85</v>
      </c>
      <c r="E1" s="3"/>
      <c r="F1" s="3"/>
    </row>
    <row r="2" spans="1:6" ht="12.75">
      <c r="A2" s="7" t="s">
        <v>12</v>
      </c>
      <c r="B2" s="80" t="s">
        <v>86</v>
      </c>
      <c r="E2" s="3"/>
      <c r="F2" s="3"/>
    </row>
    <row r="3" spans="1:6" ht="12.75">
      <c r="A3" s="7" t="s">
        <v>46</v>
      </c>
      <c r="B3" s="80" t="s">
        <v>83</v>
      </c>
      <c r="E3" s="3"/>
      <c r="F3" s="3"/>
    </row>
    <row r="4" spans="1:6" ht="12.75">
      <c r="A4" s="7" t="s">
        <v>13</v>
      </c>
      <c r="B4" s="4">
        <v>43238</v>
      </c>
      <c r="C4" s="78"/>
      <c r="E4" s="3"/>
      <c r="F4" s="3"/>
    </row>
    <row r="5" spans="1:6" ht="15">
      <c r="A5" s="7" t="s">
        <v>14</v>
      </c>
      <c r="B5" s="4">
        <v>46891</v>
      </c>
      <c r="C5" s="79"/>
      <c r="E5" s="3"/>
      <c r="F5" s="3"/>
    </row>
    <row r="6" spans="1:6" ht="12.75">
      <c r="A6" s="7" t="s">
        <v>15</v>
      </c>
      <c r="B6" s="82">
        <v>0.0729</v>
      </c>
      <c r="C6" s="33"/>
      <c r="E6" s="3"/>
      <c r="F6" s="3"/>
    </row>
    <row r="7" spans="1:6" ht="13.5" thickBot="1">
      <c r="A7" s="17" t="s">
        <v>16</v>
      </c>
      <c r="B7" s="5" t="s">
        <v>17</v>
      </c>
      <c r="E7" s="3"/>
      <c r="F7" s="3"/>
    </row>
    <row r="8" spans="5:6" ht="13.5" thickBot="1">
      <c r="E8" s="3"/>
      <c r="F8" s="3"/>
    </row>
    <row r="9" spans="1:6" ht="13.5" thickBot="1">
      <c r="A9" s="220" t="s">
        <v>26</v>
      </c>
      <c r="B9" s="221"/>
      <c r="E9" s="3"/>
      <c r="F9" s="3"/>
    </row>
    <row r="10" spans="1:6" ht="12.75">
      <c r="A10" s="7" t="s">
        <v>4</v>
      </c>
      <c r="B10" s="8">
        <f>+'CALCULADORA TIS Pesos H-2'!E6</f>
        <v>45248</v>
      </c>
      <c r="E10" s="3"/>
      <c r="F10" s="3"/>
    </row>
    <row r="11" spans="1:6" ht="12.75">
      <c r="A11" s="7" t="s">
        <v>5</v>
      </c>
      <c r="B11" s="8">
        <f>+VLOOKUP(B10,Flujos!$A$2:$A$182,1)</f>
        <v>45248</v>
      </c>
      <c r="E11" s="3"/>
      <c r="F11" s="3"/>
    </row>
    <row r="12" spans="1:6" ht="12.75">
      <c r="A12" s="7" t="s">
        <v>6</v>
      </c>
      <c r="B12" s="9">
        <f>+VLOOKUP(B11,Flujos!$A$2:$D$182,4)</f>
        <v>27.264492</v>
      </c>
      <c r="E12" s="3"/>
      <c r="F12" s="3"/>
    </row>
    <row r="13" spans="1:6" ht="12.75">
      <c r="A13" s="7" t="s">
        <v>7</v>
      </c>
      <c r="B13" s="9">
        <f>+VLOOKUP(_XLL.FECHA.MES(B10,1),Flujos!$A$2:$F$182,6)</f>
        <v>0.160342</v>
      </c>
      <c r="E13" s="3"/>
      <c r="F13" s="3"/>
    </row>
    <row r="14" spans="1:6" ht="12.75">
      <c r="A14" s="7" t="s">
        <v>3</v>
      </c>
      <c r="B14" s="10">
        <f>+DAYS360(B11,B10,TRUE)</f>
        <v>0</v>
      </c>
      <c r="E14" s="3"/>
      <c r="F14" s="3"/>
    </row>
    <row r="15" spans="1:6" ht="12.75">
      <c r="A15" s="7" t="s">
        <v>8</v>
      </c>
      <c r="B15" s="10">
        <v>30</v>
      </c>
      <c r="E15" s="3"/>
      <c r="F15" s="3"/>
    </row>
    <row r="16" spans="1:6" ht="12.75">
      <c r="A16" s="7" t="s">
        <v>9</v>
      </c>
      <c r="B16" s="11">
        <f>ROUND(B13/B12*B14/B15*100,4)</f>
        <v>0</v>
      </c>
      <c r="E16" s="3"/>
      <c r="F16" s="3"/>
    </row>
    <row r="17" spans="1:6" ht="12.75">
      <c r="A17" s="7" t="s">
        <v>11</v>
      </c>
      <c r="B17" s="12">
        <f>+'CALCULADORA TIS Pesos H-2'!F12</f>
        <v>96.09</v>
      </c>
      <c r="E17" s="3"/>
      <c r="F17" s="3"/>
    </row>
    <row r="18" spans="1:6" ht="12.75">
      <c r="A18" s="7" t="s">
        <v>23</v>
      </c>
      <c r="B18" s="13">
        <f>+'CALCULADORA TIS Pesos H-2'!F16</f>
        <v>1000000000</v>
      </c>
      <c r="E18" s="3"/>
      <c r="F18" s="3"/>
    </row>
    <row r="19" spans="1:6" ht="12.75">
      <c r="A19" s="7" t="s">
        <v>16</v>
      </c>
      <c r="B19" s="11">
        <v>1</v>
      </c>
      <c r="E19" s="3"/>
      <c r="F19" s="3"/>
    </row>
    <row r="20" spans="1:6" ht="12.75">
      <c r="A20" s="7" t="s">
        <v>24</v>
      </c>
      <c r="B20" s="13">
        <f>ROUND(B18*B19*(B17+B16)/100,0)</f>
        <v>960900000</v>
      </c>
      <c r="C20" s="14"/>
      <c r="E20" s="3"/>
      <c r="F20" s="3"/>
    </row>
    <row r="21" spans="1:6" ht="12.75">
      <c r="A21" s="7" t="s">
        <v>25</v>
      </c>
      <c r="B21" s="15">
        <f>TRUNC(B20/B18,5)</f>
        <v>0.9609</v>
      </c>
      <c r="C21" s="16"/>
      <c r="E21" s="3"/>
      <c r="F21" s="3"/>
    </row>
    <row r="22" spans="1:6" ht="12.75">
      <c r="A22" s="7" t="s">
        <v>27</v>
      </c>
      <c r="B22" s="12">
        <f>TRUNC(B21/B19*100,3)</f>
        <v>96.09</v>
      </c>
      <c r="E22" s="3"/>
      <c r="F22" s="3"/>
    </row>
    <row r="23" spans="1:6" ht="12.75">
      <c r="A23" s="7" t="s">
        <v>28</v>
      </c>
      <c r="B23" s="12">
        <f>TRUNC(Flujos!H183/VLOOKUP('CALCULADORA TIS Pesos H-2'!E6,Flujos!A2:D182,4)*100,3)</f>
        <v>96.217</v>
      </c>
      <c r="E23" s="3"/>
      <c r="F23" s="3"/>
    </row>
    <row r="24" spans="1:6" ht="12.75">
      <c r="A24" s="7" t="s">
        <v>29</v>
      </c>
      <c r="B24" s="11">
        <f>+B22-B23</f>
        <v>-0.12699999999999534</v>
      </c>
      <c r="E24" s="3"/>
      <c r="F24" s="3"/>
    </row>
    <row r="25" spans="1:6" ht="13.5" thickBot="1">
      <c r="A25" s="17" t="s">
        <v>30</v>
      </c>
      <c r="B25" s="18">
        <f>TRUNC('CALCULADORA TIS Pesos H-2'!F11,5)</f>
        <v>0.1065</v>
      </c>
      <c r="E25" s="3"/>
      <c r="F25" s="3"/>
    </row>
    <row r="26" spans="5:6" ht="13.5" thickBot="1">
      <c r="E26" s="3"/>
      <c r="F26" s="3"/>
    </row>
    <row r="27" spans="1:6" ht="13.5" thickBot="1">
      <c r="A27" s="220" t="s">
        <v>37</v>
      </c>
      <c r="B27" s="221"/>
      <c r="E27" s="3"/>
      <c r="F27" s="3"/>
    </row>
    <row r="28" spans="1:6" ht="12.75">
      <c r="A28" s="7" t="s">
        <v>31</v>
      </c>
      <c r="B28" s="19">
        <f>TRUNC('CALCULADORA TIS Pesos H-2'!F11,5)</f>
        <v>0.1065</v>
      </c>
      <c r="E28" s="3"/>
      <c r="F28" s="3"/>
    </row>
    <row r="29" spans="1:6" ht="12.75">
      <c r="A29" s="7" t="s">
        <v>28</v>
      </c>
      <c r="B29" s="12">
        <f>TRUNC(Flujos!H183/VLOOKUP('CALCULADORA TIS Pesos H-2'!E6,Flujos!A2:D182,4)*100,3)</f>
        <v>96.217</v>
      </c>
      <c r="E29" s="3"/>
      <c r="F29" s="3"/>
    </row>
    <row r="30" spans="1:6" ht="12.75">
      <c r="A30" s="1" t="s">
        <v>16</v>
      </c>
      <c r="B30" s="11">
        <v>1</v>
      </c>
      <c r="E30" s="3"/>
      <c r="F30" s="3"/>
    </row>
    <row r="31" spans="1:6" ht="12.75">
      <c r="A31" s="7" t="s">
        <v>23</v>
      </c>
      <c r="B31" s="13">
        <f>+'CALCULADORA TIS Pesos H-2'!F16</f>
        <v>1000000000</v>
      </c>
      <c r="E31" s="3"/>
      <c r="F31" s="3"/>
    </row>
    <row r="32" spans="1:6" ht="12.75">
      <c r="A32" s="7" t="s">
        <v>24</v>
      </c>
      <c r="B32" s="13">
        <f>+ROUND(B29/100*B31*B30,0)</f>
        <v>962170000</v>
      </c>
      <c r="E32" s="3"/>
      <c r="F32" s="3"/>
    </row>
    <row r="33" spans="1:6" ht="12.75">
      <c r="A33" s="7" t="s">
        <v>6</v>
      </c>
      <c r="B33" s="9">
        <f>+VLOOKUP(B11,Flujos!$A$2:$D$182,4)</f>
        <v>27.264492</v>
      </c>
      <c r="E33" s="3"/>
      <c r="F33" s="3"/>
    </row>
    <row r="34" spans="1:6" ht="12.75">
      <c r="A34" s="7" t="s">
        <v>7</v>
      </c>
      <c r="B34" s="9">
        <f>+VLOOKUP(_XLL.FECHA.MES(B10,1),Flujos!$A$2:$F$182,6)</f>
        <v>0.160342</v>
      </c>
      <c r="D34" s="20"/>
      <c r="E34" s="3"/>
      <c r="F34" s="3"/>
    </row>
    <row r="35" spans="1:6" ht="12.75">
      <c r="A35" s="7" t="s">
        <v>3</v>
      </c>
      <c r="B35" s="10">
        <f>+DAYS360(B11,B10,TRUE)</f>
        <v>0</v>
      </c>
      <c r="D35" s="21"/>
      <c r="E35" s="3"/>
      <c r="F35" s="3"/>
    </row>
    <row r="36" spans="1:6" ht="12.75">
      <c r="A36" s="7" t="s">
        <v>8</v>
      </c>
      <c r="B36" s="10">
        <v>30</v>
      </c>
      <c r="E36" s="3"/>
      <c r="F36" s="3"/>
    </row>
    <row r="37" spans="1:6" ht="12.75">
      <c r="A37" s="7" t="s">
        <v>25</v>
      </c>
      <c r="B37" s="15">
        <f>TRUNC(B32/(B30*B31),5)</f>
        <v>0.96217</v>
      </c>
      <c r="C37" s="22"/>
      <c r="E37" s="3"/>
      <c r="F37" s="3"/>
    </row>
    <row r="38" spans="1:6" ht="12.75">
      <c r="A38" s="7" t="s">
        <v>9</v>
      </c>
      <c r="B38" s="11">
        <f>ROUND(B34/B33*B35/B36,6)*100</f>
        <v>0</v>
      </c>
      <c r="E38" s="3"/>
      <c r="F38" s="3"/>
    </row>
    <row r="39" spans="1:6" ht="13.5" thickBot="1">
      <c r="A39" s="17" t="s">
        <v>11</v>
      </c>
      <c r="B39" s="23">
        <f>ROUND((B37-(B38/100))*100,3)</f>
        <v>96.217</v>
      </c>
      <c r="C39" s="24"/>
      <c r="E39" s="3"/>
      <c r="F39" s="3"/>
    </row>
    <row r="40" spans="2:6" ht="12.75">
      <c r="B40" s="24"/>
      <c r="E40" s="3"/>
      <c r="F40" s="3"/>
    </row>
    <row r="41" spans="2:6" ht="12.75">
      <c r="B41" s="22"/>
      <c r="E41" s="3"/>
      <c r="F41" s="3"/>
    </row>
    <row r="42" spans="2:6" ht="12.75">
      <c r="B42" s="2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78" spans="5:6" ht="12.75">
      <c r="E78" s="3"/>
      <c r="F78" s="3"/>
    </row>
    <row r="79" spans="5:6" ht="12.75">
      <c r="E79" s="3"/>
      <c r="F79" s="3"/>
    </row>
    <row r="80" spans="5:6" ht="12.75">
      <c r="E80" s="3"/>
      <c r="F80" s="3"/>
    </row>
    <row r="81" spans="5:6" ht="12.75">
      <c r="E81" s="3"/>
      <c r="F81" s="3"/>
    </row>
    <row r="82" spans="5:6" ht="12.75">
      <c r="E82" s="3"/>
      <c r="F82" s="3"/>
    </row>
    <row r="83" spans="5:6" ht="12.75">
      <c r="E83" s="3"/>
      <c r="F83" s="3"/>
    </row>
    <row r="84" spans="5:6" ht="12.75">
      <c r="E84" s="3"/>
      <c r="F84" s="3"/>
    </row>
    <row r="85" spans="5:6" ht="12.75">
      <c r="E85" s="3"/>
      <c r="F85" s="3"/>
    </row>
    <row r="86" spans="5:6" ht="12.75">
      <c r="E86" s="3"/>
      <c r="F86" s="3"/>
    </row>
    <row r="87" spans="5:6" ht="12.75">
      <c r="E87" s="3"/>
      <c r="F87" s="3"/>
    </row>
    <row r="88" spans="5:6" ht="12.75">
      <c r="E88" s="3"/>
      <c r="F88" s="3"/>
    </row>
    <row r="89" spans="5:6" ht="12.75">
      <c r="E89" s="3"/>
      <c r="F89" s="3"/>
    </row>
    <row r="90" spans="5:6" ht="12.75">
      <c r="E90" s="3"/>
      <c r="F90" s="3"/>
    </row>
    <row r="91" spans="5:6" ht="12.75">
      <c r="E91" s="3"/>
      <c r="F91" s="3"/>
    </row>
    <row r="92" spans="5:6" ht="12.75">
      <c r="E92" s="3"/>
      <c r="F92" s="3"/>
    </row>
    <row r="93" spans="5:6" ht="12.75">
      <c r="E93" s="3"/>
      <c r="F93" s="3"/>
    </row>
    <row r="94" spans="5:6" ht="12.75">
      <c r="E94" s="3"/>
      <c r="F94" s="3"/>
    </row>
    <row r="95" spans="5:6" ht="12.75">
      <c r="E95" s="3"/>
      <c r="F95" s="3"/>
    </row>
    <row r="96" spans="5:6" ht="12.75">
      <c r="E96" s="3"/>
      <c r="F96" s="3"/>
    </row>
    <row r="97" spans="5:6" ht="12.75">
      <c r="E97" s="3"/>
      <c r="F97" s="3"/>
    </row>
    <row r="98" spans="5:6" ht="12.75">
      <c r="E98" s="3"/>
      <c r="F98" s="3"/>
    </row>
    <row r="99" spans="5:6" ht="12.75">
      <c r="E99" s="3"/>
      <c r="F99" s="3"/>
    </row>
    <row r="100" spans="5:6" ht="12.75">
      <c r="E100" s="3"/>
      <c r="F100" s="3"/>
    </row>
    <row r="101" spans="5:6" ht="12.75">
      <c r="E101" s="3"/>
      <c r="F101" s="3"/>
    </row>
    <row r="102" spans="5:6" ht="12.75">
      <c r="E102" s="3"/>
      <c r="F102" s="3"/>
    </row>
    <row r="103" spans="5:6" ht="12.75">
      <c r="E103" s="3"/>
      <c r="F103" s="3"/>
    </row>
    <row r="104" spans="5:6" ht="12.75">
      <c r="E104" s="3"/>
      <c r="F104" s="3"/>
    </row>
    <row r="105" spans="5:6" ht="12.75">
      <c r="E105" s="3"/>
      <c r="F105" s="3"/>
    </row>
    <row r="106" spans="5:6" ht="12.75">
      <c r="E106" s="3"/>
      <c r="F106" s="3"/>
    </row>
    <row r="107" spans="5:6" ht="12.75">
      <c r="E107" s="3"/>
      <c r="F107" s="3"/>
    </row>
    <row r="108" spans="5:6" ht="12.75">
      <c r="E108" s="3"/>
      <c r="F108" s="3"/>
    </row>
    <row r="109" spans="5:6" ht="12.75">
      <c r="E109" s="3"/>
      <c r="F109" s="3"/>
    </row>
    <row r="110" spans="5:6" ht="12.75">
      <c r="E110" s="3"/>
      <c r="F110" s="3"/>
    </row>
    <row r="111" spans="5:6" ht="12.75">
      <c r="E111" s="3"/>
      <c r="F111" s="3"/>
    </row>
    <row r="112" spans="5:6" ht="12.75">
      <c r="E112" s="3"/>
      <c r="F112" s="3"/>
    </row>
    <row r="113" spans="5:6" ht="12.75">
      <c r="E113" s="3"/>
      <c r="F113" s="3"/>
    </row>
    <row r="114" spans="5:6" ht="12.75">
      <c r="E114" s="3"/>
      <c r="F114" s="3"/>
    </row>
    <row r="115" spans="5:6" ht="12.75">
      <c r="E115" s="3"/>
      <c r="F115" s="3"/>
    </row>
    <row r="116" spans="5:6" ht="12.75">
      <c r="E116" s="3"/>
      <c r="F116" s="3"/>
    </row>
    <row r="117" spans="5:6" ht="12.75">
      <c r="E117" s="3"/>
      <c r="F117" s="3"/>
    </row>
    <row r="118" spans="5:6" ht="12.75">
      <c r="E118" s="3"/>
      <c r="F118" s="3"/>
    </row>
    <row r="119" spans="5:6" ht="12.75">
      <c r="E119" s="3"/>
      <c r="F119" s="3"/>
    </row>
    <row r="120" spans="5:6" ht="12.75">
      <c r="E120" s="3"/>
      <c r="F120" s="3"/>
    </row>
    <row r="121" spans="5:6" ht="12.75">
      <c r="E121" s="3"/>
      <c r="F121" s="3"/>
    </row>
    <row r="122" spans="5:6" ht="12.75">
      <c r="E122" s="3"/>
      <c r="F122" s="3"/>
    </row>
    <row r="123" spans="5:6" ht="12.75">
      <c r="E123" s="3"/>
      <c r="F123" s="3"/>
    </row>
    <row r="124" spans="5:6" ht="12.75">
      <c r="E124" s="3"/>
      <c r="F124" s="3"/>
    </row>
    <row r="125" spans="5:6" ht="12.75">
      <c r="E125" s="3"/>
      <c r="F125" s="3"/>
    </row>
    <row r="126" spans="5:6" ht="12.75">
      <c r="E126" s="3"/>
      <c r="F126" s="3"/>
    </row>
    <row r="127" spans="5:6" ht="12.75">
      <c r="E127" s="3"/>
      <c r="F127" s="3"/>
    </row>
    <row r="128" spans="5:6" ht="12.75">
      <c r="E128" s="3"/>
      <c r="F128" s="3"/>
    </row>
    <row r="129" spans="5:6" ht="12.75">
      <c r="E129" s="3"/>
      <c r="F129" s="3"/>
    </row>
    <row r="130" spans="5:6" ht="12.75">
      <c r="E130" s="3"/>
      <c r="F130" s="3"/>
    </row>
    <row r="131" spans="5:6" ht="12.75">
      <c r="E131" s="3"/>
      <c r="F131" s="3"/>
    </row>
    <row r="132" spans="5:6" ht="12.75">
      <c r="E132" s="3"/>
      <c r="F132" s="3"/>
    </row>
    <row r="133" spans="5:6" ht="12.75">
      <c r="E133" s="3"/>
      <c r="F133" s="3"/>
    </row>
    <row r="134" spans="5:6" ht="12.75">
      <c r="E134" s="3"/>
      <c r="F134" s="3"/>
    </row>
    <row r="135" spans="5:6" ht="12.75">
      <c r="E135" s="3"/>
      <c r="F135" s="3"/>
    </row>
    <row r="136" spans="5:6" ht="12.75">
      <c r="E136" s="3"/>
      <c r="F136" s="3"/>
    </row>
    <row r="137" spans="5:6" ht="12.75">
      <c r="E137" s="3"/>
      <c r="F137" s="3"/>
    </row>
    <row r="138" spans="5:6" ht="12.75">
      <c r="E138" s="3"/>
      <c r="F138" s="3"/>
    </row>
    <row r="139" spans="5:6" ht="12.75">
      <c r="E139" s="3"/>
      <c r="F139" s="3"/>
    </row>
    <row r="140" spans="5:6" ht="12.75">
      <c r="E140" s="3"/>
      <c r="F140" s="3"/>
    </row>
    <row r="141" spans="5:6" ht="12.75">
      <c r="E141" s="3"/>
      <c r="F141" s="3"/>
    </row>
    <row r="142" spans="5:6" ht="12.75">
      <c r="E142" s="3"/>
      <c r="F142" s="3"/>
    </row>
    <row r="143" spans="5:6" ht="12.75">
      <c r="E143" s="3"/>
      <c r="F143" s="3"/>
    </row>
    <row r="144" spans="5:6" ht="12.75">
      <c r="E144" s="3"/>
      <c r="F144" s="3"/>
    </row>
    <row r="145" spans="5:6" ht="12.75">
      <c r="E145" s="3"/>
      <c r="F145" s="3"/>
    </row>
    <row r="146" spans="5:6" ht="12.75">
      <c r="E146" s="3"/>
      <c r="F146" s="3"/>
    </row>
    <row r="147" spans="5:6" ht="12.75">
      <c r="E147" s="3"/>
      <c r="F147" s="3"/>
    </row>
    <row r="148" spans="5:6" ht="12.75">
      <c r="E148" s="3"/>
      <c r="F148" s="3"/>
    </row>
    <row r="149" spans="5:6" ht="12.75">
      <c r="E149" s="3"/>
      <c r="F149" s="3"/>
    </row>
    <row r="150" spans="5:6" ht="12.75">
      <c r="E150" s="3"/>
      <c r="F150" s="3"/>
    </row>
    <row r="151" spans="5:6" ht="12.75">
      <c r="E151" s="3"/>
      <c r="F151" s="3"/>
    </row>
    <row r="152" spans="5:6" ht="12.75">
      <c r="E152" s="3"/>
      <c r="F152" s="3"/>
    </row>
    <row r="153" spans="5:6" ht="12.75">
      <c r="E153" s="3"/>
      <c r="F153" s="3"/>
    </row>
    <row r="154" spans="5:6" ht="12.75">
      <c r="E154" s="3"/>
      <c r="F154" s="3"/>
    </row>
    <row r="155" spans="5:6" ht="12.75">
      <c r="E155" s="3"/>
      <c r="F155" s="3"/>
    </row>
    <row r="156" spans="5:6" ht="12.75">
      <c r="E156" s="3"/>
      <c r="F156" s="3"/>
    </row>
    <row r="157" spans="5:6" ht="12.75">
      <c r="E157" s="3"/>
      <c r="F157" s="3"/>
    </row>
    <row r="158" spans="5:6" ht="12.75">
      <c r="E158" s="3"/>
      <c r="F158" s="3"/>
    </row>
    <row r="159" spans="5:6" ht="12.75">
      <c r="E159" s="3"/>
      <c r="F159" s="3"/>
    </row>
    <row r="160" spans="5:6" ht="12.75">
      <c r="E160" s="3"/>
      <c r="F160" s="3"/>
    </row>
    <row r="161" spans="5:6" ht="12.75">
      <c r="E161" s="3"/>
      <c r="F161" s="3"/>
    </row>
    <row r="162" spans="5:6" ht="12.75">
      <c r="E162" s="3"/>
      <c r="F162" s="3"/>
    </row>
    <row r="163" spans="5:6" ht="12.75">
      <c r="E163" s="3"/>
      <c r="F163" s="3"/>
    </row>
    <row r="164" spans="5:6" ht="12.75">
      <c r="E164" s="3"/>
      <c r="F164" s="3"/>
    </row>
    <row r="165" spans="5:6" ht="12.75">
      <c r="E165" s="3"/>
      <c r="F165" s="3"/>
    </row>
    <row r="166" spans="5:6" ht="12.75">
      <c r="E166" s="3"/>
      <c r="F166" s="3"/>
    </row>
    <row r="167" spans="5:6" ht="12.75">
      <c r="E167" s="3"/>
      <c r="F167" s="3"/>
    </row>
    <row r="168" spans="5:6" ht="12.75">
      <c r="E168" s="3"/>
      <c r="F168" s="3"/>
    </row>
    <row r="169" spans="5:6" ht="12.75">
      <c r="E169" s="3"/>
      <c r="F169" s="3"/>
    </row>
    <row r="170" spans="5:6" ht="12.75">
      <c r="E170" s="3"/>
      <c r="F170" s="3"/>
    </row>
    <row r="171" spans="5:6" ht="12.75">
      <c r="E171" s="3"/>
      <c r="F171" s="3"/>
    </row>
    <row r="172" spans="5:6" ht="12.75">
      <c r="E172" s="3"/>
      <c r="F172" s="3"/>
    </row>
    <row r="173" spans="5:6" ht="12.75">
      <c r="E173" s="3"/>
      <c r="F173" s="3"/>
    </row>
    <row r="174" spans="5:6" ht="12.75">
      <c r="E174" s="3"/>
      <c r="F174" s="3"/>
    </row>
    <row r="175" spans="5:6" ht="12.75">
      <c r="E175" s="3"/>
      <c r="F175" s="3"/>
    </row>
    <row r="176" spans="5:6" ht="12.75">
      <c r="E176" s="3"/>
      <c r="F176" s="3"/>
    </row>
    <row r="177" spans="5:6" ht="12.75">
      <c r="E177" s="3"/>
      <c r="F177" s="3"/>
    </row>
    <row r="178" spans="5:6" ht="12.75">
      <c r="E178" s="3"/>
      <c r="F178" s="3"/>
    </row>
    <row r="179" spans="5:6" ht="12.75">
      <c r="E179" s="3"/>
      <c r="F179" s="3"/>
    </row>
    <row r="180" spans="5:6" ht="12.75">
      <c r="E180" s="3"/>
      <c r="F180" s="3"/>
    </row>
    <row r="181" spans="5:6" ht="12.75">
      <c r="E181" s="3"/>
      <c r="F181" s="3"/>
    </row>
    <row r="182" spans="5:6" ht="12.75">
      <c r="E182" s="3"/>
      <c r="F182" s="3"/>
    </row>
    <row r="183" spans="5:6" ht="12.75">
      <c r="E183" s="3"/>
      <c r="F183" s="3"/>
    </row>
    <row r="184" spans="5:6" ht="12.75">
      <c r="E184" s="3"/>
      <c r="F184" s="3"/>
    </row>
    <row r="185" spans="5:6" ht="12.75">
      <c r="E185" s="3"/>
      <c r="F185" s="3"/>
    </row>
    <row r="186" spans="5:6" ht="12.75">
      <c r="E186" s="3"/>
      <c r="F186" s="3"/>
    </row>
    <row r="187" spans="5:6" ht="12.75">
      <c r="E187" s="3"/>
      <c r="F187" s="3"/>
    </row>
    <row r="188" spans="5:6" ht="12.75">
      <c r="E188" s="3"/>
      <c r="F188" s="3"/>
    </row>
    <row r="189" spans="5:6" ht="12.75">
      <c r="E189" s="3"/>
      <c r="F189" s="3"/>
    </row>
    <row r="190" spans="5:6" ht="12.75">
      <c r="E190" s="3"/>
      <c r="F190" s="3"/>
    </row>
    <row r="191" spans="5:6" ht="12.75">
      <c r="E191" s="3"/>
      <c r="F191" s="3"/>
    </row>
    <row r="192" spans="5:6" ht="12.75">
      <c r="E192" s="3"/>
      <c r="F192" s="3"/>
    </row>
    <row r="193" spans="5:6" ht="12.75">
      <c r="E193" s="3"/>
      <c r="F193" s="3"/>
    </row>
    <row r="194" spans="5:6" ht="12.75">
      <c r="E194" s="3"/>
      <c r="F194" s="3"/>
    </row>
    <row r="195" spans="5:6" ht="12.75">
      <c r="E195" s="3"/>
      <c r="F195" s="3"/>
    </row>
    <row r="196" spans="5:6" ht="12.75">
      <c r="E196" s="3"/>
      <c r="F196" s="3"/>
    </row>
    <row r="197" spans="5:6" ht="12.75">
      <c r="E197" s="3"/>
      <c r="F197" s="3"/>
    </row>
    <row r="198" spans="5:6" ht="12.75">
      <c r="E198" s="3"/>
      <c r="F198" s="3"/>
    </row>
    <row r="199" spans="5:6" ht="12.75">
      <c r="E199" s="3"/>
      <c r="F199" s="3"/>
    </row>
    <row r="200" spans="5:6" ht="12.75">
      <c r="E200" s="3"/>
      <c r="F200" s="3"/>
    </row>
    <row r="201" spans="5:6" ht="12.75">
      <c r="E201" s="3"/>
      <c r="F201" s="3"/>
    </row>
    <row r="202" spans="5:6" ht="12.75">
      <c r="E202" s="3"/>
      <c r="F202" s="3"/>
    </row>
    <row r="203" spans="5:6" ht="12.75">
      <c r="E203" s="3"/>
      <c r="F203" s="3"/>
    </row>
    <row r="204" spans="5:6" ht="12.75">
      <c r="E204" s="3"/>
      <c r="F204" s="3"/>
    </row>
    <row r="205" spans="5:6" ht="12.75">
      <c r="E205" s="3"/>
      <c r="F205" s="3"/>
    </row>
    <row r="206" spans="5:6" ht="12.75">
      <c r="E206" s="3"/>
      <c r="F206" s="3"/>
    </row>
    <row r="207" spans="5:6" ht="12.75">
      <c r="E207" s="3"/>
      <c r="F207" s="3"/>
    </row>
    <row r="208" spans="5:6" ht="12.75">
      <c r="E208" s="3"/>
      <c r="F208" s="3"/>
    </row>
    <row r="209" spans="5:6" ht="12.75">
      <c r="E209" s="3"/>
      <c r="F209" s="3"/>
    </row>
    <row r="210" spans="5:6" ht="12.75">
      <c r="E210" s="3"/>
      <c r="F210" s="3"/>
    </row>
    <row r="211" spans="5:6" ht="12.75">
      <c r="E211" s="3"/>
      <c r="F211" s="3"/>
    </row>
    <row r="212" spans="5:6" ht="12.75">
      <c r="E212" s="3"/>
      <c r="F212" s="3"/>
    </row>
    <row r="213" spans="5:6" ht="12.75">
      <c r="E213" s="3"/>
      <c r="F213" s="3"/>
    </row>
    <row r="214" spans="5:6" ht="12.75">
      <c r="E214" s="3"/>
      <c r="F214" s="3"/>
    </row>
    <row r="215" spans="5:6" ht="12.75">
      <c r="E215" s="3"/>
      <c r="F215" s="3"/>
    </row>
    <row r="216" spans="5:6" ht="12.75">
      <c r="E216" s="3"/>
      <c r="F216" s="3"/>
    </row>
    <row r="217" spans="5:6" ht="12.75">
      <c r="E217" s="3"/>
      <c r="F217" s="3"/>
    </row>
    <row r="218" spans="5:6" ht="12.75">
      <c r="E218" s="3"/>
      <c r="F218" s="3"/>
    </row>
    <row r="219" spans="5:6" ht="12.75">
      <c r="E219" s="3"/>
      <c r="F219" s="3"/>
    </row>
    <row r="220" spans="5:6" ht="12.75">
      <c r="E220" s="3"/>
      <c r="F220" s="3"/>
    </row>
    <row r="221" spans="5:6" ht="12.75">
      <c r="E221" s="3"/>
      <c r="F221" s="3"/>
    </row>
    <row r="222" spans="5:6" ht="12.75">
      <c r="E222" s="3"/>
      <c r="F222" s="3"/>
    </row>
    <row r="223" spans="5:6" ht="12.75">
      <c r="E223" s="3"/>
      <c r="F223" s="3"/>
    </row>
    <row r="224" spans="5:6" ht="12.75">
      <c r="E224" s="3"/>
      <c r="F224" s="3"/>
    </row>
    <row r="225" spans="5:6" ht="12.75">
      <c r="E225" s="3"/>
      <c r="F225" s="3"/>
    </row>
    <row r="226" spans="5:6" ht="12.75">
      <c r="E226" s="3"/>
      <c r="F226" s="3"/>
    </row>
    <row r="227" spans="5:6" ht="12.75">
      <c r="E227" s="3"/>
      <c r="F227" s="3"/>
    </row>
    <row r="228" spans="5:6" ht="12.75">
      <c r="E228" s="3"/>
      <c r="F228" s="3"/>
    </row>
    <row r="229" spans="5:6" ht="12.75">
      <c r="E229" s="3"/>
      <c r="F229" s="3"/>
    </row>
    <row r="230" spans="5:6" ht="12.75">
      <c r="E230" s="3"/>
      <c r="F230" s="3"/>
    </row>
    <row r="231" spans="5:6" ht="12.75">
      <c r="E231" s="3"/>
      <c r="F231" s="3"/>
    </row>
    <row r="232" spans="5:6" ht="12.75">
      <c r="E232" s="3"/>
      <c r="F232" s="3"/>
    </row>
    <row r="233" spans="5:6" ht="12.75">
      <c r="E233" s="3"/>
      <c r="F233" s="3"/>
    </row>
    <row r="234" spans="5:6" ht="12.75">
      <c r="E234" s="3"/>
      <c r="F234" s="3"/>
    </row>
    <row r="235" spans="5:6" ht="12.75">
      <c r="E235" s="3"/>
      <c r="F235" s="3"/>
    </row>
    <row r="236" spans="5:6" ht="12.75">
      <c r="E236" s="3"/>
      <c r="F236" s="3"/>
    </row>
    <row r="237" spans="5:6" ht="12.75">
      <c r="E237" s="3"/>
      <c r="F237" s="3"/>
    </row>
    <row r="238" spans="5:6" ht="12.75">
      <c r="E238" s="3"/>
      <c r="F238" s="3"/>
    </row>
    <row r="239" spans="5:6" ht="12.75">
      <c r="E239" s="3"/>
      <c r="F239" s="3"/>
    </row>
    <row r="240" spans="5:6" ht="12.75">
      <c r="E240" s="3"/>
      <c r="F240" s="3"/>
    </row>
    <row r="65536" ht="12.75">
      <c r="E65536" s="3"/>
    </row>
  </sheetData>
  <sheetProtection password="C5F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183"/>
  <sheetViews>
    <sheetView zoomScalePageLayoutView="0" workbookViewId="0" topLeftCell="A53">
      <selection activeCell="A67" sqref="A67:IV67"/>
    </sheetView>
  </sheetViews>
  <sheetFormatPr defaultColWidth="0" defaultRowHeight="12.75"/>
  <cols>
    <col min="1" max="1" width="10.140625" style="57" bestFit="1" customWidth="1"/>
    <col min="2" max="2" width="9.57421875" style="34" bestFit="1" customWidth="1"/>
    <col min="3" max="3" width="14.140625" style="61" bestFit="1" customWidth="1"/>
    <col min="4" max="4" width="12.57421875" style="61" hidden="1" customWidth="1"/>
    <col min="5" max="5" width="13.7109375" style="34" hidden="1" customWidth="1"/>
    <col min="6" max="6" width="15.421875" style="34" hidden="1" customWidth="1"/>
    <col min="7" max="7" width="11.8515625" style="34" hidden="1" customWidth="1"/>
    <col min="8" max="8" width="10.7109375" style="34" hidden="1" customWidth="1"/>
    <col min="9" max="9" width="10.140625" style="57" hidden="1" customWidth="1"/>
    <col min="10" max="10" width="10.7109375" style="57" hidden="1" customWidth="1"/>
    <col min="11" max="11" width="13.00390625" style="57" hidden="1" customWidth="1"/>
    <col min="12" max="12" width="16.57421875" style="34" bestFit="1" customWidth="1"/>
    <col min="13" max="13" width="16.7109375" style="34" bestFit="1" customWidth="1"/>
    <col min="14" max="14" width="17.28125" style="34" bestFit="1" customWidth="1"/>
    <col min="15" max="15" width="16.57421875" style="34" bestFit="1" customWidth="1"/>
    <col min="16" max="16384" width="0" style="34" hidden="1" customWidth="1"/>
  </cols>
  <sheetData>
    <row r="1" spans="1:15" s="62" customFormat="1" ht="26.25" thickBot="1">
      <c r="A1" s="98" t="s">
        <v>50</v>
      </c>
      <c r="B1" s="99" t="s">
        <v>51</v>
      </c>
      <c r="C1" s="100" t="s">
        <v>52</v>
      </c>
      <c r="D1" s="100" t="s">
        <v>32</v>
      </c>
      <c r="E1" s="99" t="s">
        <v>33</v>
      </c>
      <c r="F1" s="99" t="s">
        <v>34</v>
      </c>
      <c r="G1" s="99" t="s">
        <v>35</v>
      </c>
      <c r="H1" s="101" t="s">
        <v>10</v>
      </c>
      <c r="I1" s="102" t="s">
        <v>18</v>
      </c>
      <c r="J1" s="103" t="s">
        <v>19</v>
      </c>
      <c r="K1" s="104" t="s">
        <v>22</v>
      </c>
      <c r="L1" s="98" t="s">
        <v>53</v>
      </c>
      <c r="M1" s="100" t="s">
        <v>54</v>
      </c>
      <c r="N1" s="100" t="s">
        <v>55</v>
      </c>
      <c r="O1" s="105" t="s">
        <v>56</v>
      </c>
    </row>
    <row r="2" spans="1:15" s="27" customFormat="1" ht="12.75">
      <c r="A2" s="170">
        <v>43238</v>
      </c>
      <c r="B2" s="63">
        <f>IF(DIAS365('CALCULADORA TIS Pesos H-2'!$E$6,A2)&lt;0,0,DIAS365('CALCULADORA TIS Pesos H-2'!$E$6,A2))</f>
        <v>0</v>
      </c>
      <c r="C2" s="64">
        <v>0</v>
      </c>
      <c r="D2" s="81">
        <f>+'CALCULADORA TIS Pesos H-2'!F15/Flujos!C183</f>
        <v>100</v>
      </c>
      <c r="E2" s="65">
        <v>0</v>
      </c>
      <c r="F2" s="65">
        <v>0</v>
      </c>
      <c r="G2" s="65">
        <f>F2+E2</f>
        <v>0</v>
      </c>
      <c r="H2" s="66">
        <f>IF($B2&lt;0,0,G2/POWER(1+'CALCULADORA TIS Pesos H-2'!$F$11,Flujos!$B2/365))</f>
        <v>0</v>
      </c>
      <c r="I2" s="67">
        <f>+A2</f>
        <v>43238</v>
      </c>
      <c r="J2" s="6">
        <v>0</v>
      </c>
      <c r="K2" s="68">
        <v>0</v>
      </c>
      <c r="L2" s="72">
        <f>Características!B18/Flujos!C183</f>
        <v>3667774187.760403</v>
      </c>
      <c r="M2" s="69">
        <v>0</v>
      </c>
      <c r="N2" s="69">
        <v>0</v>
      </c>
      <c r="O2" s="70">
        <f>+N2+M2</f>
        <v>0</v>
      </c>
    </row>
    <row r="3" spans="1:15" s="27" customFormat="1" ht="12.75">
      <c r="A3" s="170">
        <v>43269</v>
      </c>
      <c r="B3" s="63">
        <f>IF(DIAS365('CALCULADORA TIS Pesos H-2'!$E$6,A3)&lt;0,0,DIAS365('CALCULADORA TIS Pesos H-2'!$E$6,A3))</f>
        <v>0</v>
      </c>
      <c r="C3" s="64">
        <f>+HLOOKUP('CALCULADORA TIS Pesos H-2'!$E$4,Tablas!$B$1:$B$181,Flujos!J3+1,FALSE)</f>
        <v>0.00852759</v>
      </c>
      <c r="D3" s="81">
        <f aca="true" t="shared" si="0" ref="D3:D66">IF(+ROUND(D2-E3,15)&lt;0.000001,0,ROUND(D2-E3,15))</f>
        <v>99.147241</v>
      </c>
      <c r="E3" s="65">
        <f>ROUND(C3*$D$2,6)</f>
        <v>0.852759</v>
      </c>
      <c r="F3" s="65">
        <f>ROUND(D2*ROUND(((1+'CALCULADORA TIS Pesos H-2'!$C$14)^(1/12)-1),6),6)</f>
        <v>0.5881</v>
      </c>
      <c r="G3" s="65">
        <f>F3+E3</f>
        <v>1.4408590000000001</v>
      </c>
      <c r="H3" s="66">
        <f>IF($B3=0,0,G3/POWER(1+'CALCULADORA TIS Pesos H-2'!$F$11,Flujos!$B3/365))</f>
        <v>0</v>
      </c>
      <c r="I3" s="67">
        <f aca="true" t="shared" si="1" ref="I3:I66">+A3</f>
        <v>43269</v>
      </c>
      <c r="J3" s="6">
        <v>1</v>
      </c>
      <c r="K3" s="68">
        <f>+DIAS365($A$2,A3)</f>
        <v>31</v>
      </c>
      <c r="L3" s="72">
        <f>IF(+(L2-M3)&lt;0,0,(L2-M3))</f>
        <v>3636496913.2745996</v>
      </c>
      <c r="M3" s="69">
        <f>+$L$2*C3</f>
        <v>31277274.485803735</v>
      </c>
      <c r="N3" s="69">
        <f>+L2*$F$3%</f>
        <v>21570179.99821893</v>
      </c>
      <c r="O3" s="70">
        <f>+N3+M3</f>
        <v>52847454.48402266</v>
      </c>
    </row>
    <row r="4" spans="1:15" s="27" customFormat="1" ht="12.75">
      <c r="A4" s="170">
        <v>43299</v>
      </c>
      <c r="B4" s="63">
        <f>IF(DIAS365('CALCULADORA TIS Pesos H-2'!$E$6,A4)&lt;0,0,DIAS365('CALCULADORA TIS Pesos H-2'!$E$6,A4))</f>
        <v>0</v>
      </c>
      <c r="C4" s="64">
        <f>+HLOOKUP('CALCULADORA TIS Pesos H-2'!$E$4,Tablas!$B$1:$B$181,Flujos!J4+1,FALSE)</f>
        <v>0.00723951</v>
      </c>
      <c r="D4" s="81">
        <f t="shared" si="0"/>
        <v>98.42329</v>
      </c>
      <c r="E4" s="65">
        <f aca="true" t="shared" si="2" ref="E4:E67">ROUND(C4*$D$2,6)</f>
        <v>0.723951</v>
      </c>
      <c r="F4" s="65">
        <f>ROUND(D3*ROUND(((1+'CALCULADORA TIS Pesos H-2'!$C$14)^(1/12)-1),6),6)</f>
        <v>0.583085</v>
      </c>
      <c r="G4" s="65">
        <f aca="true" t="shared" si="3" ref="G4:G67">F4+E4</f>
        <v>1.307036</v>
      </c>
      <c r="H4" s="66">
        <f>IF($B4=0,0,G4/POWER(1+'CALCULADORA TIS Pesos H-2'!$F$11,Flujos!$B4/365))</f>
        <v>0</v>
      </c>
      <c r="I4" s="67">
        <f t="shared" si="1"/>
        <v>43299</v>
      </c>
      <c r="J4" s="6">
        <v>2</v>
      </c>
      <c r="K4" s="68">
        <f aca="true" t="shared" si="4" ref="K4:K67">+DIAS365($A$2,A4)</f>
        <v>61</v>
      </c>
      <c r="L4" s="72">
        <f aca="true" t="shared" si="5" ref="L4:L67">IF(+(L3-M4)&lt;0,0,(L3-M4))</f>
        <v>3609944025.3645663</v>
      </c>
      <c r="M4" s="69">
        <f aca="true" t="shared" si="6" ref="M4:M67">+$L$2*C4</f>
        <v>26552887.910033315</v>
      </c>
      <c r="N4" s="69">
        <f aca="true" t="shared" si="7" ref="N4:N67">+L3*$F$3%</f>
        <v>21386238.34696792</v>
      </c>
      <c r="O4" s="70">
        <f aca="true" t="shared" si="8" ref="O4:O67">+N4+M4</f>
        <v>47939126.257001236</v>
      </c>
    </row>
    <row r="5" spans="1:15" s="27" customFormat="1" ht="12.75">
      <c r="A5" s="170">
        <v>43330</v>
      </c>
      <c r="B5" s="63">
        <f>IF(DIAS365('CALCULADORA TIS Pesos H-2'!$E$6,A5)&lt;0,0,DIAS365('CALCULADORA TIS Pesos H-2'!$E$6,A5))</f>
        <v>0</v>
      </c>
      <c r="C5" s="64">
        <f>+HLOOKUP('CALCULADORA TIS Pesos H-2'!$E$4,Tablas!$B$1:$B$181,Flujos!J5+1,FALSE)</f>
        <v>0.01197496</v>
      </c>
      <c r="D5" s="81">
        <f t="shared" si="0"/>
        <v>97.225794</v>
      </c>
      <c r="E5" s="65">
        <f t="shared" si="2"/>
        <v>1.197496</v>
      </c>
      <c r="F5" s="65">
        <f>ROUND(D4*ROUND(((1+'CALCULADORA TIS Pesos H-2'!$C$14)^(1/12)-1),6),6)</f>
        <v>0.578827</v>
      </c>
      <c r="G5" s="65">
        <f t="shared" si="3"/>
        <v>1.7763229999999999</v>
      </c>
      <c r="H5" s="66">
        <f>IF($B5=0,0,G5/POWER(1+'CALCULADORA TIS Pesos H-2'!$F$11,Flujos!$B5/365))</f>
        <v>0</v>
      </c>
      <c r="I5" s="67">
        <f t="shared" si="1"/>
        <v>43330</v>
      </c>
      <c r="J5" s="6">
        <v>3</v>
      </c>
      <c r="K5" s="68">
        <f t="shared" si="4"/>
        <v>92</v>
      </c>
      <c r="L5" s="72">
        <f t="shared" si="5"/>
        <v>3566022576.177103</v>
      </c>
      <c r="M5" s="69">
        <f t="shared" si="6"/>
        <v>43921449.18746331</v>
      </c>
      <c r="N5" s="69">
        <f t="shared" si="7"/>
        <v>21230080.813169014</v>
      </c>
      <c r="O5" s="70">
        <f t="shared" si="8"/>
        <v>65151530.00063233</v>
      </c>
    </row>
    <row r="6" spans="1:15" s="27" customFormat="1" ht="12.75">
      <c r="A6" s="170">
        <v>43361</v>
      </c>
      <c r="B6" s="63">
        <f>IF(DIAS365('CALCULADORA TIS Pesos H-2'!$E$6,A6)&lt;0,0,DIAS365('CALCULADORA TIS Pesos H-2'!$E$6,A6))</f>
        <v>0</v>
      </c>
      <c r="C6" s="64">
        <f>+HLOOKUP('CALCULADORA TIS Pesos H-2'!$E$4,Tablas!$B$1:$B$181,Flujos!J6+1,FALSE)</f>
        <v>0.01073998</v>
      </c>
      <c r="D6" s="81">
        <f t="shared" si="0"/>
        <v>96.151796</v>
      </c>
      <c r="E6" s="65">
        <f t="shared" si="2"/>
        <v>1.073998</v>
      </c>
      <c r="F6" s="65">
        <f>ROUND(D5*ROUND(((1+'CALCULADORA TIS Pesos H-2'!$C$14)^(1/12)-1),6),6)</f>
        <v>0.571785</v>
      </c>
      <c r="G6" s="65">
        <f t="shared" si="3"/>
        <v>1.645783</v>
      </c>
      <c r="H6" s="66">
        <f>IF($B6=0,0,G6/POWER(1+'CALCULADORA TIS Pesos H-2'!$F$11,Flujos!$B6/365))</f>
        <v>0</v>
      </c>
      <c r="I6" s="67">
        <f t="shared" si="1"/>
        <v>43361</v>
      </c>
      <c r="J6" s="6">
        <v>4</v>
      </c>
      <c r="K6" s="68">
        <f t="shared" si="4"/>
        <v>123</v>
      </c>
      <c r="L6" s="72">
        <f t="shared" si="5"/>
        <v>3526630754.75604</v>
      </c>
      <c r="M6" s="69">
        <f t="shared" si="6"/>
        <v>39391821.421062976</v>
      </c>
      <c r="N6" s="69">
        <f t="shared" si="7"/>
        <v>20971778.770497542</v>
      </c>
      <c r="O6" s="70">
        <f t="shared" si="8"/>
        <v>60363600.19156052</v>
      </c>
    </row>
    <row r="7" spans="1:15" s="27" customFormat="1" ht="12.75">
      <c r="A7" s="170">
        <v>43391</v>
      </c>
      <c r="B7" s="63">
        <f>IF(DIAS365('CALCULADORA TIS Pesos H-2'!$E$6,A7)&lt;0,0,DIAS365('CALCULADORA TIS Pesos H-2'!$E$6,A7))</f>
        <v>0</v>
      </c>
      <c r="C7" s="64">
        <f>+HLOOKUP('CALCULADORA TIS Pesos H-2'!$E$4,Tablas!$B$1:$B$181,Flujos!J7+1,FALSE)</f>
        <v>0.00884823</v>
      </c>
      <c r="D7" s="81">
        <f t="shared" si="0"/>
        <v>95.266973</v>
      </c>
      <c r="E7" s="65">
        <f t="shared" si="2"/>
        <v>0.884823</v>
      </c>
      <c r="F7" s="65">
        <f>ROUND(D6*ROUND(((1+'CALCULADORA TIS Pesos H-2'!$C$14)^(1/12)-1),6),6)</f>
        <v>0.565469</v>
      </c>
      <c r="G7" s="65">
        <f t="shared" si="3"/>
        <v>1.4502920000000001</v>
      </c>
      <c r="H7" s="66">
        <f>IF($B7=0,0,G7/POWER(1+'CALCULADORA TIS Pesos H-2'!$F$11,Flujos!$B7/365))</f>
        <v>0</v>
      </c>
      <c r="I7" s="67">
        <f t="shared" si="1"/>
        <v>43391</v>
      </c>
      <c r="J7" s="6">
        <v>5</v>
      </c>
      <c r="K7" s="68">
        <f t="shared" si="4"/>
        <v>153</v>
      </c>
      <c r="L7" s="72">
        <f t="shared" si="5"/>
        <v>3494177445.154673</v>
      </c>
      <c r="M7" s="69">
        <f t="shared" si="6"/>
        <v>32453309.60136723</v>
      </c>
      <c r="N7" s="69">
        <f t="shared" si="7"/>
        <v>20740115.468720272</v>
      </c>
      <c r="O7" s="70">
        <f t="shared" si="8"/>
        <v>53193425.07008751</v>
      </c>
    </row>
    <row r="8" spans="1:15" s="172" customFormat="1" ht="12.75">
      <c r="A8" s="170">
        <v>43422</v>
      </c>
      <c r="B8" s="85">
        <f>IF(DIAS365('CALCULADORA TIS Pesos H-2'!$E$6,A8)&lt;0,0,DIAS365('CALCULADORA TIS Pesos H-2'!$E$6,A8))</f>
        <v>0</v>
      </c>
      <c r="C8" s="86">
        <f>+HLOOKUP('CALCULADORA TIS Pesos H-2'!$E$4,Tablas!$B$1:$B$181,Flujos!J8+1,FALSE)</f>
        <v>0.00865193</v>
      </c>
      <c r="D8" s="76">
        <f t="shared" si="0"/>
        <v>94.40178</v>
      </c>
      <c r="E8" s="87">
        <f t="shared" si="2"/>
        <v>0.865193</v>
      </c>
      <c r="F8" s="87">
        <f>ROUND(D7*ROUND(((1+'CALCULADORA TIS Pesos H-2'!$C$14)^(1/12)-1),6),6)</f>
        <v>0.560265</v>
      </c>
      <c r="G8" s="87">
        <f t="shared" si="3"/>
        <v>1.425458</v>
      </c>
      <c r="H8" s="88">
        <f>IF($B8=0,0,G8/POWER(1+'CALCULADORA TIS Pesos H-2'!$F$11,Flujos!$B8/365))</f>
        <v>0</v>
      </c>
      <c r="I8" s="89">
        <f t="shared" si="1"/>
        <v>43422</v>
      </c>
      <c r="J8" s="84">
        <v>6</v>
      </c>
      <c r="K8" s="90">
        <f t="shared" si="4"/>
        <v>184</v>
      </c>
      <c r="L8" s="91">
        <f t="shared" si="5"/>
        <v>3462444119.6263633</v>
      </c>
      <c r="M8" s="92">
        <f t="shared" si="6"/>
        <v>31733325.528309867</v>
      </c>
      <c r="N8" s="92">
        <f t="shared" si="7"/>
        <v>20549257.554954633</v>
      </c>
      <c r="O8" s="93">
        <f t="shared" si="8"/>
        <v>52282583.0832645</v>
      </c>
    </row>
    <row r="9" spans="1:15" s="77" customFormat="1" ht="12.75">
      <c r="A9" s="170">
        <v>43452</v>
      </c>
      <c r="B9" s="85">
        <f>IF(DIAS365('CALCULADORA TIS Pesos H-2'!$E$6,A9)&lt;0,0,DIAS365('CALCULADORA TIS Pesos H-2'!$E$6,A9))</f>
        <v>0</v>
      </c>
      <c r="C9" s="86">
        <f>+HLOOKUP('CALCULADORA TIS Pesos H-2'!$E$4,Tablas!$B$1:$B$181,Flujos!J9+1,FALSE)</f>
        <v>0.02201505</v>
      </c>
      <c r="D9" s="76">
        <f t="shared" si="0"/>
        <v>92.200275</v>
      </c>
      <c r="E9" s="87">
        <f t="shared" si="2"/>
        <v>2.201505</v>
      </c>
      <c r="F9" s="87">
        <f>ROUND(D8*ROUND(((1+'CALCULADORA TIS Pesos H-2'!$C$14)^(1/12)-1),6),6)</f>
        <v>0.555177</v>
      </c>
      <c r="G9" s="87">
        <f t="shared" si="3"/>
        <v>2.756682</v>
      </c>
      <c r="H9" s="88">
        <f>IF($B9=0,0,G9/POWER(1+'CALCULADORA TIS Pesos H-2'!$F$11,Flujos!$B9/365))</f>
        <v>0</v>
      </c>
      <c r="I9" s="89">
        <f t="shared" si="1"/>
        <v>43452</v>
      </c>
      <c r="J9" s="84">
        <v>7</v>
      </c>
      <c r="K9" s="90">
        <f t="shared" si="4"/>
        <v>214</v>
      </c>
      <c r="L9" s="91">
        <f t="shared" si="5"/>
        <v>3381697887.4941087</v>
      </c>
      <c r="M9" s="92">
        <f t="shared" si="6"/>
        <v>80746232.13225468</v>
      </c>
      <c r="N9" s="92">
        <f t="shared" si="7"/>
        <v>20362633.867522642</v>
      </c>
      <c r="O9" s="93">
        <f t="shared" si="8"/>
        <v>101108865.99977732</v>
      </c>
    </row>
    <row r="10" spans="1:15" s="27" customFormat="1" ht="12.75">
      <c r="A10" s="170">
        <v>43483</v>
      </c>
      <c r="B10" s="85">
        <f>IF(DIAS365('CALCULADORA TIS Pesos H-2'!$E$6,A10)&lt;0,0,DIAS365('CALCULADORA TIS Pesos H-2'!$E$6,A10))</f>
        <v>0</v>
      </c>
      <c r="C10" s="86">
        <f>+HLOOKUP('CALCULADORA TIS Pesos H-2'!$E$4,Tablas!$B$1:$B$181,Flujos!J10+1,FALSE)</f>
        <v>0.01252877</v>
      </c>
      <c r="D10" s="76">
        <f t="shared" si="0"/>
        <v>90.947398</v>
      </c>
      <c r="E10" s="87">
        <f t="shared" si="2"/>
        <v>1.252877</v>
      </c>
      <c r="F10" s="87">
        <f>ROUND(D9*ROUND(((1+'CALCULADORA TIS Pesos H-2'!$C$14)^(1/12)-1),6),6)</f>
        <v>0.54223</v>
      </c>
      <c r="G10" s="87">
        <f t="shared" si="3"/>
        <v>1.795107</v>
      </c>
      <c r="H10" s="88">
        <f>IF($B10=0,0,G10/POWER(1+'CALCULADORA TIS Pesos H-2'!$F$11,Flujos!$B10/365))</f>
        <v>0</v>
      </c>
      <c r="I10" s="89">
        <f t="shared" si="1"/>
        <v>43483</v>
      </c>
      <c r="J10" s="84">
        <v>8</v>
      </c>
      <c r="K10" s="90">
        <f t="shared" si="4"/>
        <v>245</v>
      </c>
      <c r="L10" s="91">
        <f t="shared" si="5"/>
        <v>3335745188.283722</v>
      </c>
      <c r="M10" s="92">
        <f t="shared" si="6"/>
        <v>45952699.2103869</v>
      </c>
      <c r="N10" s="92">
        <f t="shared" si="7"/>
        <v>19887765.276352853</v>
      </c>
      <c r="O10" s="93">
        <f t="shared" si="8"/>
        <v>65840464.486739755</v>
      </c>
    </row>
    <row r="11" spans="1:15" s="172" customFormat="1" ht="12.75">
      <c r="A11" s="170">
        <v>43514</v>
      </c>
      <c r="B11" s="85">
        <f>IF(DIAS365('CALCULADORA TIS Pesos H-2'!$E$6,A11)&lt;0,0,DIAS365('CALCULADORA TIS Pesos H-2'!$E$6,A11))</f>
        <v>0</v>
      </c>
      <c r="C11" s="86">
        <f>+HLOOKUP('CALCULADORA TIS Pesos H-2'!$E$4,Tablas!$B$1:$B$181,Flujos!J11+1,FALSE)</f>
        <v>0.01046112</v>
      </c>
      <c r="D11" s="76">
        <f t="shared" si="0"/>
        <v>89.901286</v>
      </c>
      <c r="E11" s="87">
        <f t="shared" si="2"/>
        <v>1.046112</v>
      </c>
      <c r="F11" s="87">
        <f>ROUND(D10*ROUND(((1+'CALCULADORA TIS Pesos H-2'!$C$14)^(1/12)-1),6),6)</f>
        <v>0.534862</v>
      </c>
      <c r="G11" s="87">
        <f t="shared" si="3"/>
        <v>1.5809739999999999</v>
      </c>
      <c r="H11" s="88">
        <f>IF($B11=0,0,G11/POWER(1+'CALCULADORA TIS Pesos H-2'!$F$11,Flujos!$B11/365))</f>
        <v>0</v>
      </c>
      <c r="I11" s="89">
        <f t="shared" si="1"/>
        <v>43514</v>
      </c>
      <c r="J11" s="84">
        <v>9</v>
      </c>
      <c r="K11" s="90">
        <f t="shared" si="4"/>
        <v>276</v>
      </c>
      <c r="L11" s="91">
        <f t="shared" si="5"/>
        <v>3297376162.372658</v>
      </c>
      <c r="M11" s="92">
        <f t="shared" si="6"/>
        <v>38369025.91106411</v>
      </c>
      <c r="N11" s="92">
        <f t="shared" si="7"/>
        <v>19617517.45229657</v>
      </c>
      <c r="O11" s="93">
        <f t="shared" si="8"/>
        <v>57986543.36336068</v>
      </c>
    </row>
    <row r="12" spans="1:15" s="77" customFormat="1" ht="12.75">
      <c r="A12" s="170">
        <v>43542</v>
      </c>
      <c r="B12" s="85">
        <f>IF(DIAS365('CALCULADORA TIS Pesos H-2'!$E$6,A12)&lt;0,0,DIAS365('CALCULADORA TIS Pesos H-2'!$E$6,A12))</f>
        <v>0</v>
      </c>
      <c r="C12" s="86">
        <f>+HLOOKUP('CALCULADORA TIS Pesos H-2'!$E$4,Tablas!$B$1:$B$181,Flujos!J12+1,FALSE)</f>
        <v>0.01183189</v>
      </c>
      <c r="D12" s="76">
        <f t="shared" si="0"/>
        <v>88.718097</v>
      </c>
      <c r="E12" s="87">
        <f t="shared" si="2"/>
        <v>1.183189</v>
      </c>
      <c r="F12" s="87">
        <f>ROUND(D11*ROUND(((1+'CALCULADORA TIS Pesos H-2'!$C$14)^(1/12)-1),6),6)</f>
        <v>0.528709</v>
      </c>
      <c r="G12" s="87">
        <f t="shared" si="3"/>
        <v>1.7118980000000001</v>
      </c>
      <c r="H12" s="88">
        <f>IF($B12=0,0,G12/POWER(1+'CALCULADORA TIS Pesos H-2'!$F$11,Flujos!$B12/365))</f>
        <v>0</v>
      </c>
      <c r="I12" s="89">
        <f t="shared" si="1"/>
        <v>43542</v>
      </c>
      <c r="J12" s="84">
        <v>10</v>
      </c>
      <c r="K12" s="90">
        <f t="shared" si="4"/>
        <v>304</v>
      </c>
      <c r="L12" s="91">
        <f t="shared" si="5"/>
        <v>3253979461.6382375</v>
      </c>
      <c r="M12" s="92">
        <f t="shared" si="6"/>
        <v>43396700.73442043</v>
      </c>
      <c r="N12" s="92">
        <f t="shared" si="7"/>
        <v>19391869.2109136</v>
      </c>
      <c r="O12" s="93">
        <f t="shared" si="8"/>
        <v>62788569.94533403</v>
      </c>
    </row>
    <row r="13" spans="1:15" s="77" customFormat="1" ht="12.75">
      <c r="A13" s="170">
        <v>43573</v>
      </c>
      <c r="B13" s="85">
        <f>IF(DIAS365('CALCULADORA TIS Pesos H-2'!$E$6,A13)&lt;0,0,DIAS365('CALCULADORA TIS Pesos H-2'!$E$6,A13))</f>
        <v>0</v>
      </c>
      <c r="C13" s="86">
        <f>+HLOOKUP('CALCULADORA TIS Pesos H-2'!$E$4,Tablas!$B$1:$B$181,Flujos!J13+1,FALSE)</f>
        <v>0.01248592</v>
      </c>
      <c r="D13" s="76">
        <f t="shared" si="0"/>
        <v>87.469505</v>
      </c>
      <c r="E13" s="87">
        <f t="shared" si="2"/>
        <v>1.248592</v>
      </c>
      <c r="F13" s="87">
        <f>ROUND(D12*ROUND(((1+'CALCULADORA TIS Pesos H-2'!$C$14)^(1/12)-1),6),6)</f>
        <v>0.521751</v>
      </c>
      <c r="G13" s="87">
        <f t="shared" si="3"/>
        <v>1.770343</v>
      </c>
      <c r="H13" s="88">
        <f>IF($B13=0,0,G13/POWER(1+'CALCULADORA TIS Pesos H-2'!$F$11,Flujos!$B13/365))</f>
        <v>0</v>
      </c>
      <c r="I13" s="89">
        <f t="shared" si="1"/>
        <v>43573</v>
      </c>
      <c r="J13" s="84">
        <v>11</v>
      </c>
      <c r="K13" s="90">
        <f t="shared" si="4"/>
        <v>335</v>
      </c>
      <c r="L13" s="91">
        <f t="shared" si="5"/>
        <v>3208183926.551796</v>
      </c>
      <c r="M13" s="92">
        <f t="shared" si="6"/>
        <v>45795535.08644137</v>
      </c>
      <c r="N13" s="92">
        <f t="shared" si="7"/>
        <v>19136653.213894475</v>
      </c>
      <c r="O13" s="93">
        <f t="shared" si="8"/>
        <v>64932188.30033584</v>
      </c>
    </row>
    <row r="14" spans="1:15" ht="12.75">
      <c r="A14" s="170">
        <v>43603</v>
      </c>
      <c r="B14" s="63">
        <f>IF(DIAS365('CALCULADORA TIS Pesos H-2'!$E$6,A14)&lt;0,0,DIAS365('CALCULADORA TIS Pesos H-2'!$E$6,A14))</f>
        <v>0</v>
      </c>
      <c r="C14" s="64">
        <f>+HLOOKUP('CALCULADORA TIS Pesos H-2'!$E$4,Tablas!$B$1:$B$181,Flujos!J14+1,FALSE)</f>
        <v>0.01136195</v>
      </c>
      <c r="D14" s="81">
        <f t="shared" si="0"/>
        <v>86.33331</v>
      </c>
      <c r="E14" s="65">
        <f t="shared" si="2"/>
        <v>1.136195</v>
      </c>
      <c r="F14" s="65">
        <f>ROUND(D13*ROUND(((1+'CALCULADORA TIS Pesos H-2'!$C$14)^(1/12)-1),6),6)</f>
        <v>0.514408</v>
      </c>
      <c r="G14" s="65">
        <f t="shared" si="3"/>
        <v>1.650603</v>
      </c>
      <c r="H14" s="66">
        <f>IF($B14=0,0,G14/POWER(1+'CALCULADORA TIS Pesos H-2'!$F$11,Flujos!$B14/365))</f>
        <v>0</v>
      </c>
      <c r="I14" s="67">
        <f t="shared" si="1"/>
        <v>43603</v>
      </c>
      <c r="J14" s="6">
        <v>12</v>
      </c>
      <c r="K14" s="68">
        <f t="shared" si="4"/>
        <v>365</v>
      </c>
      <c r="L14" s="72">
        <f t="shared" si="5"/>
        <v>3166510859.6191716</v>
      </c>
      <c r="M14" s="69">
        <f t="shared" si="6"/>
        <v>41673066.93262431</v>
      </c>
      <c r="N14" s="69">
        <f t="shared" si="7"/>
        <v>18867329.672051113</v>
      </c>
      <c r="O14" s="70">
        <f t="shared" si="8"/>
        <v>60540396.60467543</v>
      </c>
    </row>
    <row r="15" spans="1:15" s="27" customFormat="1" ht="12.75">
      <c r="A15" s="170">
        <v>43634</v>
      </c>
      <c r="B15" s="63">
        <f>IF(DIAS365('CALCULADORA TIS Pesos H-2'!$E$6,A15)&lt;0,0,DIAS365('CALCULADORA TIS Pesos H-2'!$E$6,A15))</f>
        <v>0</v>
      </c>
      <c r="C15" s="64">
        <f>+HLOOKUP('CALCULADORA TIS Pesos H-2'!$E$4,Tablas!$B$1:$B$181,Flujos!J15+1,FALSE)</f>
        <v>0.00895034</v>
      </c>
      <c r="D15" s="81">
        <f t="shared" si="0"/>
        <v>85.438276</v>
      </c>
      <c r="E15" s="65">
        <f t="shared" si="2"/>
        <v>0.895034</v>
      </c>
      <c r="F15" s="65">
        <f>ROUND(D14*ROUND(((1+'CALCULADORA TIS Pesos H-2'!$C$14)^(1/12)-1),6),6)</f>
        <v>0.507726</v>
      </c>
      <c r="G15" s="65">
        <f t="shared" si="3"/>
        <v>1.40276</v>
      </c>
      <c r="H15" s="66">
        <f>IF($B15=0,0,G15/POWER(1+'CALCULADORA TIS Pesos H-2'!$F$11,Flujos!$B15/365))</f>
        <v>0</v>
      </c>
      <c r="I15" s="67">
        <f t="shared" si="1"/>
        <v>43634</v>
      </c>
      <c r="J15" s="6">
        <v>13</v>
      </c>
      <c r="K15" s="68">
        <f t="shared" si="4"/>
        <v>396</v>
      </c>
      <c r="L15" s="72">
        <f t="shared" si="5"/>
        <v>3133683033.5954924</v>
      </c>
      <c r="M15" s="69">
        <f t="shared" si="6"/>
        <v>32827826.023679443</v>
      </c>
      <c r="N15" s="69">
        <f t="shared" si="7"/>
        <v>18622250.36542035</v>
      </c>
      <c r="O15" s="70">
        <f t="shared" si="8"/>
        <v>51450076.38909979</v>
      </c>
    </row>
    <row r="16" spans="1:15" ht="12.75">
      <c r="A16" s="170">
        <v>43664</v>
      </c>
      <c r="B16" s="63">
        <f>IF(DIAS365('CALCULADORA TIS Pesos H-2'!$E$6,A16)&lt;0,0,DIAS365('CALCULADORA TIS Pesos H-2'!$E$6,A16))</f>
        <v>0</v>
      </c>
      <c r="C16" s="64">
        <f>+HLOOKUP('CALCULADORA TIS Pesos H-2'!$E$4,Tablas!$B$1:$B$181,Flujos!J16+1,FALSE)</f>
        <v>0.00996476</v>
      </c>
      <c r="D16" s="81">
        <f t="shared" si="0"/>
        <v>84.4418</v>
      </c>
      <c r="E16" s="65">
        <f t="shared" si="2"/>
        <v>0.996476</v>
      </c>
      <c r="F16" s="65">
        <f>ROUND(D15*ROUND(((1+'CALCULADORA TIS Pesos H-2'!$C$14)^(1/12)-1),6),6)</f>
        <v>0.502463</v>
      </c>
      <c r="G16" s="65">
        <f t="shared" si="3"/>
        <v>1.498939</v>
      </c>
      <c r="H16" s="66">
        <f>IF($B16=0,0,G16/POWER(1+'CALCULADORA TIS Pesos H-2'!$F$11,Flujos!$B16/365))</f>
        <v>0</v>
      </c>
      <c r="I16" s="67">
        <f t="shared" si="1"/>
        <v>43664</v>
      </c>
      <c r="J16" s="6">
        <v>14</v>
      </c>
      <c r="K16" s="68">
        <f t="shared" si="4"/>
        <v>426</v>
      </c>
      <c r="L16" s="72">
        <f>IF(+(L15-M16)&lt;0,0,(L15-M16))</f>
        <v>3097134544.080265</v>
      </c>
      <c r="M16" s="69">
        <f t="shared" si="6"/>
        <v>36548489.515227355</v>
      </c>
      <c r="N16" s="69">
        <f t="shared" si="7"/>
        <v>18429189.92057509</v>
      </c>
      <c r="O16" s="70">
        <f t="shared" si="8"/>
        <v>54977679.435802445</v>
      </c>
    </row>
    <row r="17" spans="1:15" ht="12.75">
      <c r="A17" s="170">
        <v>43695</v>
      </c>
      <c r="B17" s="63">
        <f>IF(DIAS365('CALCULADORA TIS Pesos H-2'!$E$6,A17)&lt;0,0,DIAS365('CALCULADORA TIS Pesos H-2'!$E$6,A17))</f>
        <v>0</v>
      </c>
      <c r="C17" s="64">
        <f>+HLOOKUP('CALCULADORA TIS Pesos H-2'!$E$4,Tablas!$B$1:$B$181,Flujos!J17+1,FALSE)</f>
        <v>0.01311297</v>
      </c>
      <c r="D17" s="81">
        <f t="shared" si="0"/>
        <v>83.130503</v>
      </c>
      <c r="E17" s="65">
        <f t="shared" si="2"/>
        <v>1.311297</v>
      </c>
      <c r="F17" s="65">
        <f>ROUND(D16*ROUND(((1+'CALCULADORA TIS Pesos H-2'!$C$14)^(1/12)-1),6),6)</f>
        <v>0.496602</v>
      </c>
      <c r="G17" s="65">
        <f t="shared" si="3"/>
        <v>1.807899</v>
      </c>
      <c r="H17" s="66">
        <f>IF($B17=0,0,G17/POWER(1+'CALCULADORA TIS Pesos H-2'!$F$11,Flujos!$B17/365))</f>
        <v>0</v>
      </c>
      <c r="I17" s="67">
        <f t="shared" si="1"/>
        <v>43695</v>
      </c>
      <c r="J17" s="6">
        <v>15</v>
      </c>
      <c r="K17" s="68">
        <f t="shared" si="4"/>
        <v>457</v>
      </c>
      <c r="L17" s="72">
        <f t="shared" si="5"/>
        <v>3049039131.1893883</v>
      </c>
      <c r="M17" s="69">
        <f t="shared" si="6"/>
        <v>48095412.89087653</v>
      </c>
      <c r="N17" s="69">
        <f t="shared" si="7"/>
        <v>18214248.253736038</v>
      </c>
      <c r="O17" s="70">
        <f t="shared" si="8"/>
        <v>66309661.144612566</v>
      </c>
    </row>
    <row r="18" spans="1:15" ht="12.75">
      <c r="A18" s="170">
        <v>43726</v>
      </c>
      <c r="B18" s="63">
        <f>IF(DIAS365('CALCULADORA TIS Pesos H-2'!$E$6,A18)&lt;0,0,DIAS365('CALCULADORA TIS Pesos H-2'!$E$6,A18))</f>
        <v>0</v>
      </c>
      <c r="C18" s="64">
        <f>+HLOOKUP('CALCULADORA TIS Pesos H-2'!$E$4,Tablas!$B$1:$B$181,Flujos!J18+1,FALSE)</f>
        <v>0.01009979</v>
      </c>
      <c r="D18" s="81">
        <f t="shared" si="0"/>
        <v>82.120524</v>
      </c>
      <c r="E18" s="65">
        <f t="shared" si="2"/>
        <v>1.009979</v>
      </c>
      <c r="F18" s="65">
        <f>ROUND(D17*ROUND(((1+'CALCULADORA TIS Pesos H-2'!$C$14)^(1/12)-1),6),6)</f>
        <v>0.48889</v>
      </c>
      <c r="G18" s="65">
        <f t="shared" si="3"/>
        <v>1.498869</v>
      </c>
      <c r="H18" s="66">
        <f>IF($B18=0,0,G18/POWER(1+'CALCULADORA TIS Pesos H-2'!$F$11,Flujos!$B18/365))</f>
        <v>0</v>
      </c>
      <c r="I18" s="67">
        <f t="shared" si="1"/>
        <v>43726</v>
      </c>
      <c r="J18" s="6">
        <v>16</v>
      </c>
      <c r="K18" s="68">
        <f t="shared" si="4"/>
        <v>488</v>
      </c>
      <c r="L18" s="72">
        <f t="shared" si="5"/>
        <v>3011995382.1255875</v>
      </c>
      <c r="M18" s="69">
        <f t="shared" si="6"/>
        <v>37043749.06380065</v>
      </c>
      <c r="N18" s="69">
        <f t="shared" si="7"/>
        <v>17931399.13052479</v>
      </c>
      <c r="O18" s="70">
        <f t="shared" si="8"/>
        <v>54975148.19432544</v>
      </c>
    </row>
    <row r="19" spans="1:15" ht="12.75">
      <c r="A19" s="170">
        <v>43756</v>
      </c>
      <c r="B19" s="63">
        <f>IF(DIAS365('CALCULADORA TIS Pesos H-2'!$E$6,A19)&lt;0,0,DIAS365('CALCULADORA TIS Pesos H-2'!$E$6,A19))</f>
        <v>0</v>
      </c>
      <c r="C19" s="64">
        <f>+HLOOKUP('CALCULADORA TIS Pesos H-2'!$E$4,Tablas!$B$1:$B$181,Flujos!J19+1,FALSE)</f>
        <v>0.01541992</v>
      </c>
      <c r="D19" s="81">
        <f t="shared" si="0"/>
        <v>80.578532</v>
      </c>
      <c r="E19" s="65">
        <f t="shared" si="2"/>
        <v>1.541992</v>
      </c>
      <c r="F19" s="65">
        <f>ROUND(D18*ROUND(((1+'CALCULADORA TIS Pesos H-2'!$C$14)^(1/12)-1),6),6)</f>
        <v>0.482951</v>
      </c>
      <c r="G19" s="65">
        <f t="shared" si="3"/>
        <v>2.024943</v>
      </c>
      <c r="H19" s="66">
        <f>IF($B19=0,0,G19/POWER(1+'CALCULADORA TIS Pesos H-2'!$F$11,Flujos!$B19/365))</f>
        <v>0</v>
      </c>
      <c r="I19" s="67">
        <f t="shared" si="1"/>
        <v>43756</v>
      </c>
      <c r="J19" s="6">
        <v>17</v>
      </c>
      <c r="K19" s="68">
        <f t="shared" si="4"/>
        <v>518</v>
      </c>
      <c r="L19" s="72">
        <f t="shared" si="5"/>
        <v>2955438597.572257</v>
      </c>
      <c r="M19" s="69">
        <f t="shared" si="6"/>
        <v>56556784.5533304</v>
      </c>
      <c r="N19" s="69">
        <f t="shared" si="7"/>
        <v>17713544.842280578</v>
      </c>
      <c r="O19" s="70">
        <f t="shared" si="8"/>
        <v>74270329.39561097</v>
      </c>
    </row>
    <row r="20" spans="1:15" ht="12.75">
      <c r="A20" s="170">
        <v>43787</v>
      </c>
      <c r="B20" s="63">
        <f>IF(DIAS365('CALCULADORA TIS Pesos H-2'!$E$6,A20)&lt;0,0,DIAS365('CALCULADORA TIS Pesos H-2'!$E$6,A20))</f>
        <v>0</v>
      </c>
      <c r="C20" s="64">
        <f>+HLOOKUP('CALCULADORA TIS Pesos H-2'!$E$4,Tablas!$B$1:$B$181,Flujos!J20+1,FALSE)</f>
        <v>0.00956318</v>
      </c>
      <c r="D20" s="81">
        <f t="shared" si="0"/>
        <v>79.622214</v>
      </c>
      <c r="E20" s="65">
        <f t="shared" si="2"/>
        <v>0.956318</v>
      </c>
      <c r="F20" s="65">
        <f>ROUND(D19*ROUND(((1+'CALCULADORA TIS Pesos H-2'!$C$14)^(1/12)-1),6),6)</f>
        <v>0.473882</v>
      </c>
      <c r="G20" s="65">
        <f t="shared" si="3"/>
        <v>1.4302000000000001</v>
      </c>
      <c r="H20" s="66">
        <f>IF($B20=0,0,G20/POWER(1+'CALCULADORA TIS Pesos H-2'!$F$11,Flujos!$B20/365))</f>
        <v>0</v>
      </c>
      <c r="I20" s="67">
        <f t="shared" si="1"/>
        <v>43787</v>
      </c>
      <c r="J20" s="6">
        <v>18</v>
      </c>
      <c r="K20" s="68">
        <f t="shared" si="4"/>
        <v>549</v>
      </c>
      <c r="L20" s="72">
        <f t="shared" si="5"/>
        <v>2920363012.8153505</v>
      </c>
      <c r="M20" s="69">
        <f t="shared" si="6"/>
        <v>35075584.75690653</v>
      </c>
      <c r="N20" s="69">
        <f t="shared" si="7"/>
        <v>17380934.392322443</v>
      </c>
      <c r="O20" s="70">
        <f t="shared" si="8"/>
        <v>52456519.149228975</v>
      </c>
    </row>
    <row r="21" spans="1:15" s="174" customFormat="1" ht="12.75">
      <c r="A21" s="170">
        <v>43817</v>
      </c>
      <c r="B21" s="63">
        <f>IF(DIAS365('CALCULADORA TIS Pesos H-2'!$E$6,A21)&lt;0,0,DIAS365('CALCULADORA TIS Pesos H-2'!$E$6,A21))</f>
        <v>0</v>
      </c>
      <c r="C21" s="64">
        <f>+HLOOKUP('CALCULADORA TIS Pesos H-2'!$E$4,Tablas!$B$1:$B$181,Flujos!J21+1,FALSE)</f>
        <v>0.0098829</v>
      </c>
      <c r="D21" s="81">
        <f t="shared" si="0"/>
        <v>78.633924</v>
      </c>
      <c r="E21" s="65">
        <f t="shared" si="2"/>
        <v>0.98829</v>
      </c>
      <c r="F21" s="65">
        <f>ROUND(D20*ROUND(((1+'CALCULADORA TIS Pesos H-2'!$C$14)^(1/12)-1),6),6)</f>
        <v>0.468258</v>
      </c>
      <c r="G21" s="65">
        <f t="shared" si="3"/>
        <v>1.456548</v>
      </c>
      <c r="H21" s="66">
        <f>IF($B21=0,0,G21/POWER(1+'CALCULADORA TIS Pesos H-2'!$F$11,Flujos!$B21/365))</f>
        <v>0</v>
      </c>
      <c r="I21" s="67">
        <f t="shared" si="1"/>
        <v>43817</v>
      </c>
      <c r="J21" s="6">
        <v>19</v>
      </c>
      <c r="K21" s="68">
        <f t="shared" si="4"/>
        <v>579</v>
      </c>
      <c r="L21" s="72">
        <f t="shared" si="5"/>
        <v>2884114767.295133</v>
      </c>
      <c r="M21" s="69">
        <f t="shared" si="6"/>
        <v>36248245.52021729</v>
      </c>
      <c r="N21" s="69">
        <f t="shared" si="7"/>
        <v>17174654.878367078</v>
      </c>
      <c r="O21" s="70">
        <f t="shared" si="8"/>
        <v>53422900.398584366</v>
      </c>
    </row>
    <row r="22" spans="1:15" ht="12.75">
      <c r="A22" s="170">
        <v>43848</v>
      </c>
      <c r="B22" s="63">
        <f>IF(DIAS365('CALCULADORA TIS Pesos H-2'!$E$6,A22)&lt;0,0,DIAS365('CALCULADORA TIS Pesos H-2'!$E$6,A22))</f>
        <v>0</v>
      </c>
      <c r="C22" s="64">
        <f>+HLOOKUP('CALCULADORA TIS Pesos H-2'!$E$4,Tablas!$B$1:$B$181,Flujos!J22+1,FALSE)</f>
        <v>0.01306335</v>
      </c>
      <c r="D22" s="81">
        <f t="shared" si="0"/>
        <v>77.327589</v>
      </c>
      <c r="E22" s="65">
        <f t="shared" si="2"/>
        <v>1.306335</v>
      </c>
      <c r="F22" s="65">
        <f>ROUND(D21*ROUND(((1+'CALCULADORA TIS Pesos H-2'!$C$14)^(1/12)-1),6),6)</f>
        <v>0.462446</v>
      </c>
      <c r="G22" s="65">
        <f t="shared" si="3"/>
        <v>1.7687810000000002</v>
      </c>
      <c r="H22" s="66">
        <f>IF($B22=0,0,G22/POWER(1+'CALCULADORA TIS Pesos H-2'!$F$11,Flujos!$B22/365))</f>
        <v>0</v>
      </c>
      <c r="I22" s="67">
        <f t="shared" si="1"/>
        <v>43848</v>
      </c>
      <c r="J22" s="6">
        <v>20</v>
      </c>
      <c r="K22" s="68">
        <f t="shared" si="4"/>
        <v>610</v>
      </c>
      <c r="L22" s="72">
        <f t="shared" si="5"/>
        <v>2836201349.359453</v>
      </c>
      <c r="M22" s="69">
        <f t="shared" si="6"/>
        <v>47913417.93567986</v>
      </c>
      <c r="N22" s="69">
        <f t="shared" si="7"/>
        <v>16961478.946462676</v>
      </c>
      <c r="O22" s="70">
        <f t="shared" si="8"/>
        <v>64874896.88214254</v>
      </c>
    </row>
    <row r="23" spans="1:15" ht="12.75">
      <c r="A23" s="170">
        <v>43879</v>
      </c>
      <c r="B23" s="63">
        <f>IF(DIAS365('CALCULADORA TIS Pesos H-2'!$E$6,A23)&lt;0,0,DIAS365('CALCULADORA TIS Pesos H-2'!$E$6,A23))</f>
        <v>0</v>
      </c>
      <c r="C23" s="64">
        <f>+HLOOKUP('CALCULADORA TIS Pesos H-2'!$E$4,Tablas!$B$1:$B$181,Flujos!J23+1,FALSE)</f>
        <v>0.01267342</v>
      </c>
      <c r="D23" s="81">
        <f t="shared" si="0"/>
        <v>76.060247</v>
      </c>
      <c r="E23" s="65">
        <f t="shared" si="2"/>
        <v>1.267342</v>
      </c>
      <c r="F23" s="65">
        <f>ROUND(D22*ROUND(((1+'CALCULADORA TIS Pesos H-2'!$C$14)^(1/12)-1),6),6)</f>
        <v>0.454764</v>
      </c>
      <c r="G23" s="65">
        <f t="shared" si="3"/>
        <v>1.722106</v>
      </c>
      <c r="H23" s="66">
        <f>IF($B23=0,0,G23/POWER(1+'CALCULADORA TIS Pesos H-2'!$F$11,Flujos!$B23/365))</f>
        <v>0</v>
      </c>
      <c r="I23" s="67">
        <f t="shared" si="1"/>
        <v>43879</v>
      </c>
      <c r="J23" s="6">
        <v>21</v>
      </c>
      <c r="K23" s="68">
        <f t="shared" si="4"/>
        <v>641</v>
      </c>
      <c r="L23" s="72">
        <f t="shared" si="5"/>
        <v>2789718106.612807</v>
      </c>
      <c r="M23" s="69">
        <f t="shared" si="6"/>
        <v>46483242.74664645</v>
      </c>
      <c r="N23" s="69">
        <f t="shared" si="7"/>
        <v>16679700.135582944</v>
      </c>
      <c r="O23" s="70">
        <f t="shared" si="8"/>
        <v>63162942.882229395</v>
      </c>
    </row>
    <row r="24" spans="1:15" ht="12.75">
      <c r="A24" s="170">
        <v>43908</v>
      </c>
      <c r="B24" s="63">
        <f>IF(DIAS365('CALCULADORA TIS Pesos H-2'!$E$6,A24)&lt;0,0,DIAS365('CALCULADORA TIS Pesos H-2'!$E$6,A24))</f>
        <v>0</v>
      </c>
      <c r="C24" s="64">
        <f>+HLOOKUP('CALCULADORA TIS Pesos H-2'!$E$4,Tablas!$B$1:$B$181,Flujos!J24+1,FALSE)</f>
        <v>0.01243269</v>
      </c>
      <c r="D24" s="81">
        <f t="shared" si="0"/>
        <v>74.816978</v>
      </c>
      <c r="E24" s="65">
        <f t="shared" si="2"/>
        <v>1.243269</v>
      </c>
      <c r="F24" s="65">
        <f>ROUND(D23*ROUND(((1+'CALCULADORA TIS Pesos H-2'!$C$14)^(1/12)-1),6),6)</f>
        <v>0.44731</v>
      </c>
      <c r="G24" s="65">
        <f t="shared" si="3"/>
        <v>1.690579</v>
      </c>
      <c r="H24" s="66">
        <f>IF($B24=0,0,G24/POWER(1+'CALCULADORA TIS Pesos H-2'!$F$11,Flujos!$B24/365))</f>
        <v>0</v>
      </c>
      <c r="I24" s="67">
        <f t="shared" si="1"/>
        <v>43908</v>
      </c>
      <c r="J24" s="6">
        <v>22</v>
      </c>
      <c r="K24" s="68">
        <f t="shared" si="4"/>
        <v>669</v>
      </c>
      <c r="L24" s="72">
        <f t="shared" si="5"/>
        <v>2744117807.14638</v>
      </c>
      <c r="M24" s="69">
        <f t="shared" si="6"/>
        <v>45600299.46642689</v>
      </c>
      <c r="N24" s="69">
        <f t="shared" si="7"/>
        <v>16406332.184989916</v>
      </c>
      <c r="O24" s="70">
        <f t="shared" si="8"/>
        <v>62006631.6514168</v>
      </c>
    </row>
    <row r="25" spans="1:15" ht="12.75">
      <c r="A25" s="170">
        <v>43939</v>
      </c>
      <c r="B25" s="63">
        <f>IF(DIAS365('CALCULADORA TIS Pesos H-2'!$E$6,A25)&lt;0,0,DIAS365('CALCULADORA TIS Pesos H-2'!$E$6,A25))</f>
        <v>0</v>
      </c>
      <c r="C25" s="64">
        <f>+HLOOKUP('CALCULADORA TIS Pesos H-2'!$E$4,Tablas!$B$1:$B$181,Flujos!J25+1,FALSE)</f>
        <v>0.00323761</v>
      </c>
      <c r="D25" s="81">
        <f t="shared" si="0"/>
        <v>74.493217</v>
      </c>
      <c r="E25" s="65">
        <f t="shared" si="2"/>
        <v>0.323761</v>
      </c>
      <c r="F25" s="65">
        <f>ROUND(D24*ROUND(((1+'CALCULADORA TIS Pesos H-2'!$C$14)^(1/12)-1),6),6)</f>
        <v>0.439999</v>
      </c>
      <c r="G25" s="65">
        <f t="shared" si="3"/>
        <v>0.76376</v>
      </c>
      <c r="H25" s="66">
        <f>IF($B25=0,0,G25/POWER(1+'CALCULADORA TIS Pesos H-2'!$F$11,Flujos!$B25/365))</f>
        <v>0</v>
      </c>
      <c r="I25" s="67">
        <f t="shared" si="1"/>
        <v>43939</v>
      </c>
      <c r="J25" s="6">
        <v>23</v>
      </c>
      <c r="K25" s="68">
        <f t="shared" si="4"/>
        <v>700</v>
      </c>
      <c r="L25" s="72">
        <f t="shared" si="5"/>
        <v>2732242984.758345</v>
      </c>
      <c r="M25" s="69">
        <f t="shared" si="6"/>
        <v>11874822.38803496</v>
      </c>
      <c r="N25" s="69">
        <f t="shared" si="7"/>
        <v>16138156.82382786</v>
      </c>
      <c r="O25" s="70">
        <f t="shared" si="8"/>
        <v>28012979.21186282</v>
      </c>
    </row>
    <row r="26" spans="1:15" ht="12.75">
      <c r="A26" s="170">
        <v>43969</v>
      </c>
      <c r="B26" s="63">
        <f>IF(DIAS365('CALCULADORA TIS Pesos H-2'!$E$6,A26)&lt;0,0,DIAS365('CALCULADORA TIS Pesos H-2'!$E$6,A26))</f>
        <v>0</v>
      </c>
      <c r="C26" s="64">
        <f>+HLOOKUP('CALCULADORA TIS Pesos H-2'!$E$4,Tablas!$B$1:$B$181,Flujos!J26+1,FALSE)</f>
        <v>0.00549995</v>
      </c>
      <c r="D26" s="81">
        <f t="shared" si="0"/>
        <v>73.943222</v>
      </c>
      <c r="E26" s="65">
        <f t="shared" si="2"/>
        <v>0.549995</v>
      </c>
      <c r="F26" s="65">
        <f>ROUND(D25*ROUND(((1+'CALCULADORA TIS Pesos H-2'!$C$14)^(1/12)-1),6),6)</f>
        <v>0.438095</v>
      </c>
      <c r="G26" s="65">
        <f t="shared" si="3"/>
        <v>0.98809</v>
      </c>
      <c r="H26" s="66">
        <f>IF($B26=0,0,G26/POWER(1+'CALCULADORA TIS Pesos H-2'!$F$11,Flujos!$B26/365))</f>
        <v>0</v>
      </c>
      <c r="I26" s="67">
        <f t="shared" si="1"/>
        <v>43969</v>
      </c>
      <c r="J26" s="6">
        <v>24</v>
      </c>
      <c r="K26" s="68">
        <f t="shared" si="4"/>
        <v>730</v>
      </c>
      <c r="L26" s="72">
        <f t="shared" si="5"/>
        <v>2712070410.1143723</v>
      </c>
      <c r="M26" s="69">
        <f t="shared" si="6"/>
        <v>20172574.64397283</v>
      </c>
      <c r="N26" s="69">
        <f t="shared" si="7"/>
        <v>16068320.993363827</v>
      </c>
      <c r="O26" s="70">
        <f t="shared" si="8"/>
        <v>36240895.63733666</v>
      </c>
    </row>
    <row r="27" spans="1:15" ht="12.75">
      <c r="A27" s="170">
        <v>44000</v>
      </c>
      <c r="B27" s="63">
        <f>IF(DIAS365('CALCULADORA TIS Pesos H-2'!$E$6,A27)&lt;0,0,DIAS365('CALCULADORA TIS Pesos H-2'!$E$6,A27))</f>
        <v>0</v>
      </c>
      <c r="C27" s="64">
        <f>+HLOOKUP('CALCULADORA TIS Pesos H-2'!$E$4,Tablas!$B$1:$B$181,Flujos!J27+1,FALSE)</f>
        <v>0.00559362</v>
      </c>
      <c r="D27" s="81">
        <f t="shared" si="0"/>
        <v>73.38386</v>
      </c>
      <c r="E27" s="65">
        <f t="shared" si="2"/>
        <v>0.559362</v>
      </c>
      <c r="F27" s="65">
        <f>ROUND(D26*ROUND(((1+'CALCULADORA TIS Pesos H-2'!$C$14)^(1/12)-1),6),6)</f>
        <v>0.43486</v>
      </c>
      <c r="G27" s="65">
        <f t="shared" si="3"/>
        <v>0.994222</v>
      </c>
      <c r="H27" s="66">
        <f>IF($B27=0,0,G27/POWER(1+'CALCULADORA TIS Pesos H-2'!$F$11,Flujos!$B27/365))</f>
        <v>0</v>
      </c>
      <c r="I27" s="67">
        <f t="shared" si="1"/>
        <v>44000</v>
      </c>
      <c r="J27" s="6">
        <v>25</v>
      </c>
      <c r="K27" s="68">
        <f t="shared" si="4"/>
        <v>761</v>
      </c>
      <c r="L27" s="72">
        <f t="shared" si="5"/>
        <v>2691554275.062232</v>
      </c>
      <c r="M27" s="69">
        <f t="shared" si="6"/>
        <v>20516135.052140344</v>
      </c>
      <c r="N27" s="69">
        <f t="shared" si="7"/>
        <v>15949686.081882624</v>
      </c>
      <c r="O27" s="70">
        <f t="shared" si="8"/>
        <v>36465821.134022966</v>
      </c>
    </row>
    <row r="28" spans="1:15" ht="12.75">
      <c r="A28" s="170">
        <v>44030</v>
      </c>
      <c r="B28" s="63">
        <f>IF(DIAS365('CALCULADORA TIS Pesos H-2'!$E$6,A28)&lt;0,0,DIAS365('CALCULADORA TIS Pesos H-2'!$E$6,A28))</f>
        <v>0</v>
      </c>
      <c r="C28" s="64">
        <f>+HLOOKUP('CALCULADORA TIS Pesos H-2'!$E$4,Tablas!$B$1:$B$181,Flujos!J28+1,FALSE)</f>
        <v>0.00508297</v>
      </c>
      <c r="D28" s="81">
        <f t="shared" si="0"/>
        <v>72.875563</v>
      </c>
      <c r="E28" s="65">
        <f t="shared" si="2"/>
        <v>0.508297</v>
      </c>
      <c r="F28" s="65">
        <f>ROUND(D27*ROUND(((1+'CALCULADORA TIS Pesos H-2'!$C$14)^(1/12)-1),6),6)</f>
        <v>0.43157</v>
      </c>
      <c r="G28" s="65">
        <f t="shared" si="3"/>
        <v>0.939867</v>
      </c>
      <c r="H28" s="66">
        <f>IF($B28=0,0,G28/POWER(1+'CALCULADORA TIS Pesos H-2'!$F$11,Flujos!$B28/365))</f>
        <v>0</v>
      </c>
      <c r="I28" s="67">
        <f t="shared" si="1"/>
        <v>44030</v>
      </c>
      <c r="J28" s="6">
        <v>26</v>
      </c>
      <c r="K28" s="68">
        <f t="shared" si="4"/>
        <v>791</v>
      </c>
      <c r="L28" s="72">
        <f t="shared" si="5"/>
        <v>2672911088.8990717</v>
      </c>
      <c r="M28" s="69">
        <f t="shared" si="6"/>
        <v>18643186.163160495</v>
      </c>
      <c r="N28" s="69">
        <f t="shared" si="7"/>
        <v>15829030.691640986</v>
      </c>
      <c r="O28" s="70">
        <f t="shared" si="8"/>
        <v>34472216.85480148</v>
      </c>
    </row>
    <row r="29" spans="1:15" ht="12.75">
      <c r="A29" s="175">
        <v>44061</v>
      </c>
      <c r="B29" s="85">
        <f>IF(DIAS365('CALCULADORA TIS Pesos H-2'!$E$6,A29)&lt;0,0,DIAS365('CALCULADORA TIS Pesos H-2'!$E$6,A29))</f>
        <v>0</v>
      </c>
      <c r="C29" s="86">
        <f>+HLOOKUP('CALCULADORA TIS Pesos H-2'!$E$4,Tablas!$B$1:$B$181,Flujos!J29+1,FALSE)</f>
        <v>0.00535197</v>
      </c>
      <c r="D29" s="76">
        <f t="shared" si="0"/>
        <v>72.340366</v>
      </c>
      <c r="E29" s="87">
        <f t="shared" si="2"/>
        <v>0.535197</v>
      </c>
      <c r="F29" s="87">
        <f>ROUND(D28*ROUND(((1+'CALCULADORA TIS Pesos H-2'!$C$14)^(1/12)-1),6),6)</f>
        <v>0.428581</v>
      </c>
      <c r="G29" s="87">
        <f t="shared" si="3"/>
        <v>0.963778</v>
      </c>
      <c r="H29" s="88">
        <f>IF($B29=0,0,G29/POWER(1+'CALCULADORA TIS Pesos H-2'!$F$11,Flujos!$B29/365))</f>
        <v>0</v>
      </c>
      <c r="I29" s="89">
        <f t="shared" si="1"/>
        <v>44061</v>
      </c>
      <c r="J29" s="84">
        <v>27</v>
      </c>
      <c r="K29" s="90">
        <f t="shared" si="4"/>
        <v>822</v>
      </c>
      <c r="L29" s="91">
        <f t="shared" si="5"/>
        <v>2653281271.4794035</v>
      </c>
      <c r="M29" s="92">
        <f t="shared" si="6"/>
        <v>19629817.419668045</v>
      </c>
      <c r="N29" s="92">
        <f t="shared" si="7"/>
        <v>15719390.11381544</v>
      </c>
      <c r="O29" s="93">
        <f t="shared" si="8"/>
        <v>35349207.53348348</v>
      </c>
    </row>
    <row r="30" spans="1:15" ht="12.75">
      <c r="A30" s="175">
        <v>44092</v>
      </c>
      <c r="B30" s="85">
        <f>IF(DIAS365('CALCULADORA TIS Pesos H-2'!$E$6,A30)&lt;0,0,DIAS365('CALCULADORA TIS Pesos H-2'!$E$6,A30))</f>
        <v>0</v>
      </c>
      <c r="C30" s="86">
        <f>+HLOOKUP('CALCULADORA TIS Pesos H-2'!$E$4,Tablas!$B$1:$B$181,Flujos!J30+1,FALSE)</f>
        <v>0.00945885</v>
      </c>
      <c r="D30" s="76">
        <f t="shared" si="0"/>
        <v>71.394481</v>
      </c>
      <c r="E30" s="87">
        <f t="shared" si="2"/>
        <v>0.945885</v>
      </c>
      <c r="F30" s="87">
        <f>ROUND(D29*ROUND(((1+'CALCULADORA TIS Pesos H-2'!$C$14)^(1/12)-1),6),6)</f>
        <v>0.425434</v>
      </c>
      <c r="G30" s="87">
        <f t="shared" si="3"/>
        <v>1.371319</v>
      </c>
      <c r="H30" s="88">
        <f>IF($B30=0,0,G30/POWER(1+'CALCULADORA TIS Pesos H-2'!$F$11,Flujos!$B30/365))</f>
        <v>0</v>
      </c>
      <c r="I30" s="89">
        <f t="shared" si="1"/>
        <v>44092</v>
      </c>
      <c r="J30" s="84">
        <v>28</v>
      </c>
      <c r="K30" s="90">
        <f t="shared" si="4"/>
        <v>853</v>
      </c>
      <c r="L30" s="91">
        <f t="shared" si="5"/>
        <v>2618588345.603506</v>
      </c>
      <c r="M30" s="92">
        <f t="shared" si="6"/>
        <v>34692925.87589749</v>
      </c>
      <c r="N30" s="92">
        <f t="shared" si="7"/>
        <v>15603947.157570371</v>
      </c>
      <c r="O30" s="93">
        <f t="shared" si="8"/>
        <v>50296873.03346786</v>
      </c>
    </row>
    <row r="31" spans="1:15" ht="12.75">
      <c r="A31" s="170">
        <v>44122</v>
      </c>
      <c r="B31" s="63">
        <f>IF(DIAS365('CALCULADORA TIS Pesos H-2'!$E$6,A31)&lt;0,0,DIAS365('CALCULADORA TIS Pesos H-2'!$E$6,A31))</f>
        <v>0</v>
      </c>
      <c r="C31" s="64">
        <f>+HLOOKUP('CALCULADORA TIS Pesos H-2'!$E$4,Tablas!$B$1:$B$181,Flujos!J31+1,FALSE)</f>
        <v>0.01620233</v>
      </c>
      <c r="D31" s="81">
        <f t="shared" si="0"/>
        <v>69.774248</v>
      </c>
      <c r="E31" s="65">
        <f t="shared" si="2"/>
        <v>1.620233</v>
      </c>
      <c r="F31" s="65">
        <f>ROUND(D30*ROUND(((1+'CALCULADORA TIS Pesos H-2'!$C$14)^(1/12)-1),6),6)</f>
        <v>0.419871</v>
      </c>
      <c r="G31" s="65">
        <f t="shared" si="3"/>
        <v>2.040104</v>
      </c>
      <c r="H31" s="66">
        <f>IF($B31=0,0,G31/POWER(1+'CALCULADORA TIS Pesos H-2'!$F$11,Flujos!$B31/365))</f>
        <v>0</v>
      </c>
      <c r="I31" s="67">
        <f t="shared" si="1"/>
        <v>44122</v>
      </c>
      <c r="J31" s="6">
        <v>29</v>
      </c>
      <c r="K31" s="68">
        <f t="shared" si="4"/>
        <v>883</v>
      </c>
      <c r="L31" s="72">
        <f t="shared" si="5"/>
        <v>2559161857.84793</v>
      </c>
      <c r="M31" s="69">
        <f t="shared" si="6"/>
        <v>59426487.755576015</v>
      </c>
      <c r="N31" s="69">
        <f t="shared" si="7"/>
        <v>15399918.06049422</v>
      </c>
      <c r="O31" s="70">
        <f t="shared" si="8"/>
        <v>74826405.81607023</v>
      </c>
    </row>
    <row r="32" spans="1:15" ht="12.75">
      <c r="A32" s="170">
        <v>44153</v>
      </c>
      <c r="B32" s="35">
        <f>IF(DIAS365('CALCULADORA TIS Pesos H-2'!$E$6,A32)&lt;0,0,DIAS365('CALCULADORA TIS Pesos H-2'!$E$6,A32))</f>
        <v>0</v>
      </c>
      <c r="C32" s="36">
        <f>+HLOOKUP('CALCULADORA TIS Pesos H-2'!$E$4,Tablas!$B$1:$B$181,Flujos!J32+1,FALSE)</f>
        <v>0.01203209</v>
      </c>
      <c r="D32" s="76">
        <f t="shared" si="0"/>
        <v>68.571039</v>
      </c>
      <c r="E32" s="37">
        <f t="shared" si="2"/>
        <v>1.203209</v>
      </c>
      <c r="F32" s="37">
        <f>ROUND(D31*ROUND(((1+'CALCULADORA TIS Pesos H-2'!$C$14)^(1/12)-1),6),6)</f>
        <v>0.410342</v>
      </c>
      <c r="G32" s="37">
        <f t="shared" si="3"/>
        <v>1.613551</v>
      </c>
      <c r="H32" s="38">
        <f>IF($B32=0,0,G32/POWER(1+'CALCULADORA TIS Pesos H-2'!$F$11,Flujos!$B32/365))</f>
        <v>0</v>
      </c>
      <c r="I32" s="39">
        <f t="shared" si="1"/>
        <v>44153</v>
      </c>
      <c r="J32" s="40">
        <v>30</v>
      </c>
      <c r="K32" s="41">
        <f t="shared" si="4"/>
        <v>914</v>
      </c>
      <c r="L32" s="42">
        <f t="shared" si="5"/>
        <v>2515030868.72112</v>
      </c>
      <c r="M32" s="43">
        <f t="shared" si="6"/>
        <v>44130989.126810074</v>
      </c>
      <c r="N32" s="43">
        <f t="shared" si="7"/>
        <v>15050430.886003677</v>
      </c>
      <c r="O32" s="44">
        <f t="shared" si="8"/>
        <v>59181420.01281375</v>
      </c>
    </row>
    <row r="33" spans="1:15" ht="12.75">
      <c r="A33" s="170">
        <v>44183</v>
      </c>
      <c r="B33" s="35">
        <f>IF(DIAS365('CALCULADORA TIS Pesos H-2'!$E$6,A33)&lt;0,0,DIAS365('CALCULADORA TIS Pesos H-2'!$E$6,A33))</f>
        <v>0</v>
      </c>
      <c r="C33" s="36">
        <f>+HLOOKUP('CALCULADORA TIS Pesos H-2'!$E$4,Tablas!$B$1:$B$181,Flujos!J33+1,FALSE)</f>
        <v>0.01363377</v>
      </c>
      <c r="D33" s="76">
        <f t="shared" si="0"/>
        <v>67.207662</v>
      </c>
      <c r="E33" s="37">
        <f t="shared" si="2"/>
        <v>1.363377</v>
      </c>
      <c r="F33" s="37">
        <f>ROUND(D32*ROUND(((1+'CALCULADORA TIS Pesos H-2'!$C$14)^(1/12)-1),6),6)</f>
        <v>0.403266</v>
      </c>
      <c r="G33" s="37">
        <f t="shared" si="3"/>
        <v>1.7666430000000002</v>
      </c>
      <c r="H33" s="38">
        <f>IF($B33=0,0,G33/POWER(1+'CALCULADORA TIS Pesos H-2'!$F$11,Flujos!$B33/365))</f>
        <v>0</v>
      </c>
      <c r="I33" s="39">
        <f t="shared" si="1"/>
        <v>44183</v>
      </c>
      <c r="J33" s="40">
        <v>31</v>
      </c>
      <c r="K33" s="41">
        <f t="shared" si="4"/>
        <v>944</v>
      </c>
      <c r="L33" s="42">
        <f t="shared" si="5"/>
        <v>2465025279.033258</v>
      </c>
      <c r="M33" s="43">
        <f t="shared" si="6"/>
        <v>50005589.68786215</v>
      </c>
      <c r="N33" s="43">
        <f t="shared" si="7"/>
        <v>14790896.538948907</v>
      </c>
      <c r="O33" s="44">
        <f t="shared" si="8"/>
        <v>64796486.22681106</v>
      </c>
    </row>
    <row r="34" spans="1:15" s="27" customFormat="1" ht="12.75">
      <c r="A34" s="170">
        <v>44214</v>
      </c>
      <c r="B34" s="63">
        <f>IF(DIAS365('CALCULADORA TIS Pesos H-2'!$E$6,A34)&lt;0,0,DIAS365('CALCULADORA TIS Pesos H-2'!$E$6,A34))</f>
        <v>0</v>
      </c>
      <c r="C34" s="64">
        <f>+HLOOKUP('CALCULADORA TIS Pesos H-2'!$E$4,Tablas!$B$1:$B$181,Flujos!J34+1,FALSE)</f>
        <v>0.01327921</v>
      </c>
      <c r="D34" s="81">
        <f t="shared" si="0"/>
        <v>65.879741</v>
      </c>
      <c r="E34" s="65">
        <f t="shared" si="2"/>
        <v>1.327921</v>
      </c>
      <c r="F34" s="65">
        <f>ROUND(D33*ROUND(((1+'CALCULADORA TIS Pesos H-2'!$C$14)^(1/12)-1),6),6)</f>
        <v>0.395248</v>
      </c>
      <c r="G34" s="65">
        <f t="shared" si="3"/>
        <v>1.723169</v>
      </c>
      <c r="H34" s="66">
        <f>IF($B34=0,0,G34/POWER(1+'CALCULADORA TIS Pesos H-2'!$F$11,Flujos!$B34/365))</f>
        <v>0</v>
      </c>
      <c r="I34" s="67">
        <f t="shared" si="1"/>
        <v>44214</v>
      </c>
      <c r="J34" s="6">
        <v>32</v>
      </c>
      <c r="K34" s="68">
        <f t="shared" si="4"/>
        <v>975</v>
      </c>
      <c r="L34" s="72">
        <f t="shared" si="5"/>
        <v>2416320135.361408</v>
      </c>
      <c r="M34" s="69">
        <f t="shared" si="6"/>
        <v>48705143.671849824</v>
      </c>
      <c r="N34" s="69">
        <f t="shared" si="7"/>
        <v>14496813.66599459</v>
      </c>
      <c r="O34" s="70">
        <f t="shared" si="8"/>
        <v>63201957.33784442</v>
      </c>
    </row>
    <row r="35" spans="1:15" s="27" customFormat="1" ht="12.75">
      <c r="A35" s="170">
        <v>44245</v>
      </c>
      <c r="B35" s="63">
        <f>IF(DIAS365('CALCULADORA TIS Pesos H-2'!$E$6,A35)&lt;0,0,DIAS365('CALCULADORA TIS Pesos H-2'!$E$6,A35))</f>
        <v>0</v>
      </c>
      <c r="C35" s="64">
        <f>+HLOOKUP('CALCULADORA TIS Pesos H-2'!$E$4,Tablas!$B$1:$B$181,Flujos!J35+1,FALSE)</f>
        <v>0.0147447</v>
      </c>
      <c r="D35" s="81">
        <f t="shared" si="0"/>
        <v>64.405271</v>
      </c>
      <c r="E35" s="65">
        <f t="shared" si="2"/>
        <v>1.47447</v>
      </c>
      <c r="F35" s="65">
        <f>ROUND(D34*ROUND(((1+'CALCULADORA TIS Pesos H-2'!$C$14)^(1/12)-1),6),6)</f>
        <v>0.387439</v>
      </c>
      <c r="G35" s="65">
        <f t="shared" si="3"/>
        <v>1.8619089999999998</v>
      </c>
      <c r="H35" s="66">
        <f>IF($B35=0,0,G35/POWER(1+'CALCULADORA TIS Pesos H-2'!$F$11,Flujos!$B35/365))</f>
        <v>0</v>
      </c>
      <c r="I35" s="67">
        <f t="shared" si="1"/>
        <v>44245</v>
      </c>
      <c r="J35" s="6">
        <v>33</v>
      </c>
      <c r="K35" s="68">
        <f t="shared" si="4"/>
        <v>1006</v>
      </c>
      <c r="L35" s="72">
        <f t="shared" si="5"/>
        <v>2362239905.2951374</v>
      </c>
      <c r="M35" s="69">
        <f t="shared" si="6"/>
        <v>54080230.06627081</v>
      </c>
      <c r="N35" s="69">
        <f t="shared" si="7"/>
        <v>14210378.716060441</v>
      </c>
      <c r="O35" s="70">
        <f t="shared" si="8"/>
        <v>68290608.78233126</v>
      </c>
    </row>
    <row r="36" spans="1:15" s="27" customFormat="1" ht="12.75">
      <c r="A36" s="170">
        <v>44273</v>
      </c>
      <c r="B36" s="63">
        <f>IF(DIAS365('CALCULADORA TIS Pesos H-2'!$E$6,A36)&lt;0,0,DIAS365('CALCULADORA TIS Pesos H-2'!$E$6,A36))</f>
        <v>0</v>
      </c>
      <c r="C36" s="64">
        <f>+HLOOKUP('CALCULADORA TIS Pesos H-2'!$E$4,Tablas!$B$1:$B$181,Flujos!J36+1,FALSE)</f>
        <v>0.00904088</v>
      </c>
      <c r="D36" s="81">
        <f t="shared" si="0"/>
        <v>63.501183</v>
      </c>
      <c r="E36" s="65">
        <f t="shared" si="2"/>
        <v>0.904088</v>
      </c>
      <c r="F36" s="65">
        <f>ROUND(D35*ROUND(((1+'CALCULADORA TIS Pesos H-2'!$C$14)^(1/12)-1),6),6)</f>
        <v>0.378767</v>
      </c>
      <c r="G36" s="65">
        <f t="shared" si="3"/>
        <v>1.282855</v>
      </c>
      <c r="H36" s="66">
        <f>IF($B36=0,0,G36/POWER(1+'CALCULADORA TIS Pesos H-2'!$F$11,Flujos!$B36/365))</f>
        <v>0</v>
      </c>
      <c r="I36" s="67">
        <f t="shared" si="1"/>
        <v>44273</v>
      </c>
      <c r="J36" s="6">
        <v>34</v>
      </c>
      <c r="K36" s="68">
        <f t="shared" si="4"/>
        <v>1034</v>
      </c>
      <c r="L36" s="72">
        <f>IF(+(L35-M36)&lt;0,0,(L35-M36))</f>
        <v>2329079998.996498</v>
      </c>
      <c r="M36" s="69">
        <f t="shared" si="6"/>
        <v>33159906.29863927</v>
      </c>
      <c r="N36" s="69">
        <f t="shared" si="7"/>
        <v>13892332.883040704</v>
      </c>
      <c r="O36" s="70">
        <f t="shared" si="8"/>
        <v>47052239.18167998</v>
      </c>
    </row>
    <row r="37" spans="1:15" s="27" customFormat="1" ht="12.75">
      <c r="A37" s="170">
        <v>44304</v>
      </c>
      <c r="B37" s="63">
        <f>IF(DIAS365('CALCULADORA TIS Pesos H-2'!$E$6,A37)&lt;0,0,DIAS365('CALCULADORA TIS Pesos H-2'!$E$6,A37))</f>
        <v>0</v>
      </c>
      <c r="C37" s="64">
        <f>+HLOOKUP('CALCULADORA TIS Pesos H-2'!$E$4,Tablas!$B$1:$B$181,Flujos!J37+1,FALSE)</f>
        <v>0.01231656</v>
      </c>
      <c r="D37" s="81">
        <f t="shared" si="0"/>
        <v>62.269527</v>
      </c>
      <c r="E37" s="65">
        <f t="shared" si="2"/>
        <v>1.231656</v>
      </c>
      <c r="F37" s="65">
        <f>ROUND(D36*ROUND(((1+'CALCULADORA TIS Pesos H-2'!$C$14)^(1/12)-1),6),6)</f>
        <v>0.37345</v>
      </c>
      <c r="G37" s="65">
        <f t="shared" si="3"/>
        <v>1.6051060000000001</v>
      </c>
      <c r="H37" s="66">
        <f>IF($B37=0,0,G37/POWER(1+'CALCULADORA TIS Pesos H-2'!$F$11,Flujos!$B37/365))</f>
        <v>0</v>
      </c>
      <c r="I37" s="67">
        <f t="shared" si="1"/>
        <v>44304</v>
      </c>
      <c r="J37" s="6">
        <v>35</v>
      </c>
      <c r="K37" s="68">
        <f t="shared" si="4"/>
        <v>1065</v>
      </c>
      <c r="L37" s="72">
        <f t="shared" si="5"/>
        <v>2283905638.146496</v>
      </c>
      <c r="M37" s="69">
        <f t="shared" si="6"/>
        <v>45174360.850002274</v>
      </c>
      <c r="N37" s="69">
        <f t="shared" si="7"/>
        <v>13697319.474098405</v>
      </c>
      <c r="O37" s="70">
        <f t="shared" si="8"/>
        <v>58871680.32410068</v>
      </c>
    </row>
    <row r="38" spans="1:15" s="27" customFormat="1" ht="12.75">
      <c r="A38" s="170">
        <v>44334</v>
      </c>
      <c r="B38" s="63">
        <f>IF(DIAS365('CALCULADORA TIS Pesos H-2'!$E$6,A38)&lt;0,0,DIAS365('CALCULADORA TIS Pesos H-2'!$E$6,A38))</f>
        <v>0</v>
      </c>
      <c r="C38" s="64">
        <f>+HLOOKUP('CALCULADORA TIS Pesos H-2'!$E$4,Tablas!$B$1:$B$181,Flujos!J38+1,FALSE)</f>
        <v>0.01226712</v>
      </c>
      <c r="D38" s="81">
        <f t="shared" si="0"/>
        <v>61.042815</v>
      </c>
      <c r="E38" s="65">
        <f t="shared" si="2"/>
        <v>1.226712</v>
      </c>
      <c r="F38" s="65">
        <f>ROUND(D37*ROUND(((1+'CALCULADORA TIS Pesos H-2'!$C$14)^(1/12)-1),6),6)</f>
        <v>0.366207</v>
      </c>
      <c r="G38" s="65">
        <f t="shared" si="3"/>
        <v>1.592919</v>
      </c>
      <c r="H38" s="66">
        <f>IF($B38=0,0,G38/POWER(1+'CALCULADORA TIS Pesos H-2'!$F$11,Flujos!$B38/365))</f>
        <v>0</v>
      </c>
      <c r="I38" s="67">
        <f t="shared" si="1"/>
        <v>44334</v>
      </c>
      <c r="J38" s="6">
        <v>36</v>
      </c>
      <c r="K38" s="68">
        <f t="shared" si="4"/>
        <v>1095</v>
      </c>
      <c r="L38" s="72">
        <f t="shared" si="5"/>
        <v>2238912612.052336</v>
      </c>
      <c r="M38" s="69">
        <f t="shared" si="6"/>
        <v>44993026.094159395</v>
      </c>
      <c r="N38" s="69">
        <f t="shared" si="7"/>
        <v>13431649.057939542</v>
      </c>
      <c r="O38" s="70">
        <f t="shared" si="8"/>
        <v>58424675.15209894</v>
      </c>
    </row>
    <row r="39" spans="1:15" s="27" customFormat="1" ht="12.75">
      <c r="A39" s="170">
        <v>44365</v>
      </c>
      <c r="B39" s="63">
        <f>IF(DIAS365('CALCULADORA TIS Pesos H-2'!$E$6,A39)&lt;0,0,DIAS365('CALCULADORA TIS Pesos H-2'!$E$6,A39))</f>
        <v>0</v>
      </c>
      <c r="C39" s="64">
        <f>+HLOOKUP('CALCULADORA TIS Pesos H-2'!$E$4,Tablas!$B$1:$B$181,Flujos!J39+1,FALSE)</f>
        <v>0.01500761</v>
      </c>
      <c r="D39" s="81">
        <f t="shared" si="0"/>
        <v>59.542054</v>
      </c>
      <c r="E39" s="65">
        <f t="shared" si="2"/>
        <v>1.500761</v>
      </c>
      <c r="F39" s="65">
        <f>ROUND(D38*ROUND(((1+'CALCULADORA TIS Pesos H-2'!$C$14)^(1/12)-1),6),6)</f>
        <v>0.358993</v>
      </c>
      <c r="G39" s="65">
        <f t="shared" si="3"/>
        <v>1.8597540000000001</v>
      </c>
      <c r="H39" s="66">
        <f>IF($B39=0,0,G39/POWER(1+'CALCULADORA TIS Pesos H-2'!$F$11,Flujos!$B39/365))</f>
        <v>0</v>
      </c>
      <c r="I39" s="67">
        <f t="shared" si="1"/>
        <v>44365</v>
      </c>
      <c r="J39" s="6">
        <v>37</v>
      </c>
      <c r="K39" s="68">
        <f t="shared" si="4"/>
        <v>1126</v>
      </c>
      <c r="L39" s="72">
        <f t="shared" si="5"/>
        <v>2183868087.4743614</v>
      </c>
      <c r="M39" s="69">
        <f t="shared" si="6"/>
        <v>55044524.5779749</v>
      </c>
      <c r="N39" s="69">
        <f t="shared" si="7"/>
        <v>13167045.07147979</v>
      </c>
      <c r="O39" s="70">
        <f t="shared" si="8"/>
        <v>68211569.64945468</v>
      </c>
    </row>
    <row r="40" spans="1:15" s="27" customFormat="1" ht="12.75">
      <c r="A40" s="170">
        <v>44395</v>
      </c>
      <c r="B40" s="63">
        <f>IF(DIAS365('CALCULADORA TIS Pesos H-2'!$E$6,A40)&lt;0,0,DIAS365('CALCULADORA TIS Pesos H-2'!$E$6,A40))</f>
        <v>0</v>
      </c>
      <c r="C40" s="64">
        <f>+HLOOKUP('CALCULADORA TIS Pesos H-2'!$E$4,Tablas!$B$1:$B$181,Flujos!J40+1,FALSE)</f>
        <v>0.01240746</v>
      </c>
      <c r="D40" s="81">
        <f t="shared" si="0"/>
        <v>58.301308</v>
      </c>
      <c r="E40" s="65">
        <f t="shared" si="2"/>
        <v>1.240746</v>
      </c>
      <c r="F40" s="65">
        <f>ROUND(D39*ROUND(((1+'CALCULADORA TIS Pesos H-2'!$C$14)^(1/12)-1),6),6)</f>
        <v>0.350167</v>
      </c>
      <c r="G40" s="65">
        <f t="shared" si="3"/>
        <v>1.590913</v>
      </c>
      <c r="H40" s="66">
        <f>IF($B40=0,0,G40/POWER(1+'CALCULADORA TIS Pesos H-2'!$F$11,Flujos!$B40/365))</f>
        <v>0</v>
      </c>
      <c r="I40" s="67">
        <f t="shared" si="1"/>
        <v>44395</v>
      </c>
      <c r="J40" s="6">
        <v>38</v>
      </c>
      <c r="K40" s="68">
        <f t="shared" si="4"/>
        <v>1156</v>
      </c>
      <c r="L40" s="72">
        <f t="shared" si="5"/>
        <v>2138360325.9506917</v>
      </c>
      <c r="M40" s="69">
        <f t="shared" si="6"/>
        <v>45507761.52366969</v>
      </c>
      <c r="N40" s="69">
        <f t="shared" si="7"/>
        <v>12843328.222436719</v>
      </c>
      <c r="O40" s="70">
        <f t="shared" si="8"/>
        <v>58351089.74610641</v>
      </c>
    </row>
    <row r="41" spans="1:15" s="27" customFormat="1" ht="12.75">
      <c r="A41" s="170">
        <v>44426</v>
      </c>
      <c r="B41" s="63">
        <f>IF(DIAS365('CALCULADORA TIS Pesos H-2'!$E$6,A41)&lt;0,0,DIAS365('CALCULADORA TIS Pesos H-2'!$E$6,A41))</f>
        <v>0</v>
      </c>
      <c r="C41" s="64">
        <f>+HLOOKUP('CALCULADORA TIS Pesos H-2'!$E$4,Tablas!$B$1:$B$181,Flujos!J41+1,FALSE)</f>
        <v>0.01363176</v>
      </c>
      <c r="D41" s="81">
        <f t="shared" si="0"/>
        <v>56.938132</v>
      </c>
      <c r="E41" s="65">
        <f t="shared" si="2"/>
        <v>1.363176</v>
      </c>
      <c r="F41" s="65">
        <f>ROUND(D40*ROUND(((1+'CALCULADORA TIS Pesos H-2'!$C$14)^(1/12)-1),6),6)</f>
        <v>0.34287</v>
      </c>
      <c r="G41" s="65">
        <f t="shared" si="3"/>
        <v>1.706046</v>
      </c>
      <c r="H41" s="66">
        <f>IF($B41=0,0,G41/POWER(1+'CALCULADORA TIS Pesos H-2'!$F$11,Flujos!$B41/365))</f>
        <v>0</v>
      </c>
      <c r="I41" s="67">
        <f t="shared" si="1"/>
        <v>44426</v>
      </c>
      <c r="J41" s="6">
        <v>39</v>
      </c>
      <c r="K41" s="68">
        <f t="shared" si="4"/>
        <v>1187</v>
      </c>
      <c r="L41" s="72">
        <f t="shared" si="5"/>
        <v>2088362108.488947</v>
      </c>
      <c r="M41" s="69">
        <f t="shared" si="6"/>
        <v>49998217.461744756</v>
      </c>
      <c r="N41" s="69">
        <f t="shared" si="7"/>
        <v>12575697.076916019</v>
      </c>
      <c r="O41" s="70">
        <f t="shared" si="8"/>
        <v>62573914.53866077</v>
      </c>
    </row>
    <row r="42" spans="1:15" s="27" customFormat="1" ht="12.75">
      <c r="A42" s="170">
        <v>44457</v>
      </c>
      <c r="B42" s="63">
        <f>IF(DIAS365('CALCULADORA TIS Pesos H-2'!$E$6,A42)&lt;0,0,DIAS365('CALCULADORA TIS Pesos H-2'!$E$6,A42))</f>
        <v>0</v>
      </c>
      <c r="C42" s="64">
        <f>+HLOOKUP('CALCULADORA TIS Pesos H-2'!$E$4,Tablas!$B$1:$B$181,Flujos!J42+1,FALSE)</f>
        <v>0.01121826</v>
      </c>
      <c r="D42" s="81">
        <f t="shared" si="0"/>
        <v>55.816306</v>
      </c>
      <c r="E42" s="65">
        <f t="shared" si="2"/>
        <v>1.121826</v>
      </c>
      <c r="F42" s="65">
        <f>ROUND(D41*ROUND(((1+'CALCULADORA TIS Pesos H-2'!$C$14)^(1/12)-1),6),6)</f>
        <v>0.334853</v>
      </c>
      <c r="G42" s="65">
        <f t="shared" si="3"/>
        <v>1.456679</v>
      </c>
      <c r="H42" s="66">
        <f>IF($B42=0,0,G42/POWER(1+'CALCULADORA TIS Pesos H-2'!$F$11,Flujos!$B42/365))</f>
        <v>0</v>
      </c>
      <c r="I42" s="67">
        <f t="shared" si="1"/>
        <v>44457</v>
      </c>
      <c r="J42" s="6">
        <v>40</v>
      </c>
      <c r="K42" s="68">
        <f t="shared" si="4"/>
        <v>1218</v>
      </c>
      <c r="L42" s="72">
        <f t="shared" si="5"/>
        <v>2047216064.029362</v>
      </c>
      <c r="M42" s="69">
        <f t="shared" si="6"/>
        <v>41146044.459585026</v>
      </c>
      <c r="N42" s="69">
        <f t="shared" si="7"/>
        <v>12281657.560023496</v>
      </c>
      <c r="O42" s="70">
        <f t="shared" si="8"/>
        <v>53427702.01960852</v>
      </c>
    </row>
    <row r="43" spans="1:15" s="27" customFormat="1" ht="12.75">
      <c r="A43" s="170">
        <v>44487</v>
      </c>
      <c r="B43" s="63">
        <f>IF(DIAS365('CALCULADORA TIS Pesos H-2'!$E$6,A43)&lt;0,0,DIAS365('CALCULADORA TIS Pesos H-2'!$E$6,A43))</f>
        <v>0</v>
      </c>
      <c r="C43" s="64">
        <f>+HLOOKUP('CALCULADORA TIS Pesos H-2'!$E$4,Tablas!$B$1:$B$181,Flujos!J43+1,FALSE)</f>
        <v>0.01073547</v>
      </c>
      <c r="D43" s="81">
        <f t="shared" si="0"/>
        <v>54.742759</v>
      </c>
      <c r="E43" s="65">
        <f t="shared" si="2"/>
        <v>1.073547</v>
      </c>
      <c r="F43" s="65">
        <f>ROUND(D42*ROUND(((1+'CALCULADORA TIS Pesos H-2'!$C$14)^(1/12)-1),6),6)</f>
        <v>0.328256</v>
      </c>
      <c r="G43" s="65">
        <f t="shared" si="3"/>
        <v>1.4018030000000001</v>
      </c>
      <c r="H43" s="66">
        <f>IF($B43=0,0,G43/POWER(1+'CALCULADORA TIS Pesos H-2'!$F$11,Flujos!$B43/365))</f>
        <v>0</v>
      </c>
      <c r="I43" s="67">
        <f t="shared" si="1"/>
        <v>44487</v>
      </c>
      <c r="J43" s="6">
        <v>41</v>
      </c>
      <c r="K43" s="68">
        <f t="shared" si="4"/>
        <v>1248</v>
      </c>
      <c r="L43" s="72">
        <f t="shared" si="5"/>
        <v>2007840784.2698858</v>
      </c>
      <c r="M43" s="69">
        <f t="shared" si="6"/>
        <v>39375279.75947618</v>
      </c>
      <c r="N43" s="69">
        <f t="shared" si="7"/>
        <v>12039677.672556678</v>
      </c>
      <c r="O43" s="70">
        <f t="shared" si="8"/>
        <v>51414957.43203285</v>
      </c>
    </row>
    <row r="44" spans="1:15" s="27" customFormat="1" ht="12.75">
      <c r="A44" s="170">
        <v>44518</v>
      </c>
      <c r="B44" s="63">
        <f>IF(DIAS365('CALCULADORA TIS Pesos H-2'!$E$6,A44)&lt;0,0,DIAS365('CALCULADORA TIS Pesos H-2'!$E$6,A44))</f>
        <v>0</v>
      </c>
      <c r="C44" s="64">
        <f>+HLOOKUP('CALCULADORA TIS Pesos H-2'!$E$4,Tablas!$B$1:$B$181,Flujos!J44+1,FALSE)</f>
        <v>0.00891518</v>
      </c>
      <c r="D44" s="81">
        <f t="shared" si="0"/>
        <v>53.851241</v>
      </c>
      <c r="E44" s="65">
        <f t="shared" si="2"/>
        <v>0.891518</v>
      </c>
      <c r="F44" s="65">
        <f>ROUND(D43*ROUND(((1+'CALCULADORA TIS Pesos H-2'!$C$14)^(1/12)-1),6),6)</f>
        <v>0.321942</v>
      </c>
      <c r="G44" s="65">
        <f t="shared" si="3"/>
        <v>1.21346</v>
      </c>
      <c r="H44" s="66">
        <f>IF($B44=0,0,G44/POWER(1+'CALCULADORA TIS Pesos H-2'!$F$11,Flujos!$B44/365))</f>
        <v>0</v>
      </c>
      <c r="I44" s="67">
        <f t="shared" si="1"/>
        <v>44518</v>
      </c>
      <c r="J44" s="6">
        <v>42</v>
      </c>
      <c r="K44" s="68">
        <f t="shared" si="4"/>
        <v>1279</v>
      </c>
      <c r="L44" s="72">
        <f t="shared" si="5"/>
        <v>1975141917.186648</v>
      </c>
      <c r="M44" s="69">
        <f t="shared" si="6"/>
        <v>32698867.08323779</v>
      </c>
      <c r="N44" s="69">
        <f t="shared" si="7"/>
        <v>11808111.652291197</v>
      </c>
      <c r="O44" s="70">
        <f t="shared" si="8"/>
        <v>44506978.73552899</v>
      </c>
    </row>
    <row r="45" spans="1:15" s="168" customFormat="1" ht="12.75">
      <c r="A45" s="170">
        <v>44548</v>
      </c>
      <c r="B45" s="63">
        <f>IF(DIAS365('CALCULADORA TIS Pesos H-2'!$E$6,A45)&lt;0,0,DIAS365('CALCULADORA TIS Pesos H-2'!$E$6,A45))</f>
        <v>0</v>
      </c>
      <c r="C45" s="64">
        <f>+HLOOKUP('CALCULADORA TIS Pesos H-2'!$E$4,Tablas!$B$1:$B$181,Flujos!J45+1,FALSE)</f>
        <v>0.00908007</v>
      </c>
      <c r="D45" s="81">
        <f t="shared" si="0"/>
        <v>52.943234</v>
      </c>
      <c r="E45" s="65">
        <f t="shared" si="2"/>
        <v>0.908007</v>
      </c>
      <c r="F45" s="65">
        <f>ROUND(D44*ROUND(((1+'CALCULADORA TIS Pesos H-2'!$C$14)^(1/12)-1),6),6)</f>
        <v>0.316699</v>
      </c>
      <c r="G45" s="65">
        <f t="shared" si="3"/>
        <v>1.224706</v>
      </c>
      <c r="H45" s="66">
        <f>IF($B45=0,0,G45/POWER(1+'CALCULADORA TIS Pesos H-2'!$F$11,Flujos!$B45/365))</f>
        <v>0</v>
      </c>
      <c r="I45" s="67">
        <f t="shared" si="1"/>
        <v>44548</v>
      </c>
      <c r="J45" s="6">
        <v>43</v>
      </c>
      <c r="K45" s="68">
        <f t="shared" si="4"/>
        <v>1309</v>
      </c>
      <c r="L45" s="72">
        <f t="shared" si="5"/>
        <v>1941838270.8175902</v>
      </c>
      <c r="M45" s="69">
        <f t="shared" si="6"/>
        <v>33303646.369057607</v>
      </c>
      <c r="N45" s="69">
        <f t="shared" si="7"/>
        <v>11615809.614974676</v>
      </c>
      <c r="O45" s="70">
        <f t="shared" si="8"/>
        <v>44919455.98403228</v>
      </c>
    </row>
    <row r="46" spans="1:15" s="27" customFormat="1" ht="12.75">
      <c r="A46" s="170">
        <v>44579</v>
      </c>
      <c r="B46" s="63">
        <f>IF(DIAS365('CALCULADORA TIS Pesos H-2'!$E$6,A46)&lt;0,0,DIAS365('CALCULADORA TIS Pesos H-2'!$E$6,A46))</f>
        <v>0</v>
      </c>
      <c r="C46" s="64">
        <f>+HLOOKUP('CALCULADORA TIS Pesos H-2'!$E$4,Tablas!$B$1:$B$181,Flujos!J46+1,FALSE)</f>
        <v>0.01059624</v>
      </c>
      <c r="D46" s="81">
        <f t="shared" si="0"/>
        <v>51.88361</v>
      </c>
      <c r="E46" s="65">
        <f t="shared" si="2"/>
        <v>1.059624</v>
      </c>
      <c r="F46" s="65">
        <f>ROUND(D45*ROUND(((1+'CALCULADORA TIS Pesos H-2'!$C$14)^(1/12)-1),6),6)</f>
        <v>0.311359</v>
      </c>
      <c r="G46" s="65">
        <f t="shared" si="3"/>
        <v>1.3709829999999998</v>
      </c>
      <c r="H46" s="66">
        <f>IF($B46=0,0,G46/POWER(1+'CALCULADORA TIS Pesos H-2'!$F$11,Flujos!$B46/365))</f>
        <v>0</v>
      </c>
      <c r="I46" s="67">
        <f t="shared" si="1"/>
        <v>44579</v>
      </c>
      <c r="J46" s="6">
        <v>44</v>
      </c>
      <c r="K46" s="68">
        <f t="shared" si="4"/>
        <v>1340</v>
      </c>
      <c r="L46" s="72">
        <f t="shared" si="5"/>
        <v>1902973655.258276</v>
      </c>
      <c r="M46" s="69">
        <f t="shared" si="6"/>
        <v>38864615.559314296</v>
      </c>
      <c r="N46" s="69">
        <f t="shared" si="7"/>
        <v>11419950.870678248</v>
      </c>
      <c r="O46" s="70">
        <f t="shared" si="8"/>
        <v>50284566.42999254</v>
      </c>
    </row>
    <row r="47" spans="1:15" s="27" customFormat="1" ht="12.75">
      <c r="A47" s="170">
        <v>44610</v>
      </c>
      <c r="B47" s="63">
        <f>IF(DIAS365('CALCULADORA TIS Pesos H-2'!$E$6,A47)&lt;0,0,DIAS365('CALCULADORA TIS Pesos H-2'!$E$6,A47))</f>
        <v>0</v>
      </c>
      <c r="C47" s="64">
        <f>+HLOOKUP('CALCULADORA TIS Pesos H-2'!$E$4,Tablas!$B$1:$B$181,Flujos!J47+1,FALSE)</f>
        <v>0.01331305</v>
      </c>
      <c r="D47" s="81">
        <f t="shared" si="0"/>
        <v>50.552305</v>
      </c>
      <c r="E47" s="65">
        <f t="shared" si="2"/>
        <v>1.331305</v>
      </c>
      <c r="F47" s="65">
        <f>ROUND(D46*ROUND(((1+'CALCULADORA TIS Pesos H-2'!$C$14)^(1/12)-1),6),6)</f>
        <v>0.305128</v>
      </c>
      <c r="G47" s="65">
        <f t="shared" si="3"/>
        <v>1.636433</v>
      </c>
      <c r="H47" s="66">
        <f>IF($B47=0,0,G47/POWER(1+'CALCULADORA TIS Pesos H-2'!$F$11,Flujos!$B47/365))</f>
        <v>0</v>
      </c>
      <c r="I47" s="67">
        <f t="shared" si="1"/>
        <v>44610</v>
      </c>
      <c r="J47" s="6">
        <v>45</v>
      </c>
      <c r="K47" s="68">
        <f t="shared" si="4"/>
        <v>1371</v>
      </c>
      <c r="L47" s="72">
        <f t="shared" si="5"/>
        <v>1854144394.1079123</v>
      </c>
      <c r="M47" s="69">
        <f t="shared" si="6"/>
        <v>48829261.15036363</v>
      </c>
      <c r="N47" s="69">
        <f t="shared" si="7"/>
        <v>11191388.066573922</v>
      </c>
      <c r="O47" s="70">
        <f t="shared" si="8"/>
        <v>60020649.21693756</v>
      </c>
    </row>
    <row r="48" spans="1:15" s="27" customFormat="1" ht="12.75">
      <c r="A48" s="170">
        <v>44638</v>
      </c>
      <c r="B48" s="63">
        <f>IF(DIAS365('CALCULADORA TIS Pesos H-2'!$E$6,A48)&lt;0,0,DIAS365('CALCULADORA TIS Pesos H-2'!$E$6,A48))</f>
        <v>0</v>
      </c>
      <c r="C48" s="64">
        <f>+HLOOKUP('CALCULADORA TIS Pesos H-2'!$E$4,Tablas!$B$1:$B$181,Flujos!J48+1,FALSE)</f>
        <v>0.01330445</v>
      </c>
      <c r="D48" s="81">
        <f t="shared" si="0"/>
        <v>49.22186</v>
      </c>
      <c r="E48" s="65">
        <f t="shared" si="2"/>
        <v>1.330445</v>
      </c>
      <c r="F48" s="65">
        <f>ROUND(D47*ROUND(((1+'CALCULADORA TIS Pesos H-2'!$C$14)^(1/12)-1),6),6)</f>
        <v>0.297298</v>
      </c>
      <c r="G48" s="65">
        <f t="shared" si="3"/>
        <v>1.6277430000000002</v>
      </c>
      <c r="H48" s="66">
        <f>IF($B48=0,0,G48/POWER(1+'CALCULADORA TIS Pesos H-2'!$F$11,Flujos!$B48/365))</f>
        <v>0</v>
      </c>
      <c r="I48" s="67">
        <f t="shared" si="1"/>
        <v>44638</v>
      </c>
      <c r="J48" s="6">
        <v>46</v>
      </c>
      <c r="K48" s="68">
        <f t="shared" si="4"/>
        <v>1399</v>
      </c>
      <c r="L48" s="72">
        <f t="shared" si="5"/>
        <v>1805346675.8155634</v>
      </c>
      <c r="M48" s="69">
        <f t="shared" si="6"/>
        <v>48797718.2923489</v>
      </c>
      <c r="N48" s="69">
        <f t="shared" si="7"/>
        <v>10904223.181748632</v>
      </c>
      <c r="O48" s="70">
        <f t="shared" si="8"/>
        <v>59701941.474097535</v>
      </c>
    </row>
    <row r="49" spans="1:15" s="27" customFormat="1" ht="12.75">
      <c r="A49" s="170">
        <v>44669</v>
      </c>
      <c r="B49" s="63">
        <f>IF(DIAS365('CALCULADORA TIS Pesos H-2'!$E$6,A49)&lt;0,0,DIAS365('CALCULADORA TIS Pesos H-2'!$E$6,A49))</f>
        <v>0</v>
      </c>
      <c r="C49" s="64">
        <f>+HLOOKUP('CALCULADORA TIS Pesos H-2'!$E$4,Tablas!$B$1:$B$181,Flujos!J49+1,FALSE)</f>
        <v>0.01347875</v>
      </c>
      <c r="D49" s="81">
        <f t="shared" si="0"/>
        <v>47.873985</v>
      </c>
      <c r="E49" s="65">
        <f t="shared" si="2"/>
        <v>1.347875</v>
      </c>
      <c r="F49" s="65">
        <f>ROUND(D48*ROUND(((1+'CALCULADORA TIS Pesos H-2'!$C$14)^(1/12)-1),6),6)</f>
        <v>0.289474</v>
      </c>
      <c r="G49" s="65">
        <f t="shared" si="3"/>
        <v>1.637349</v>
      </c>
      <c r="H49" s="66">
        <f>IF($B49=0,0,G49/POWER(1+'CALCULADORA TIS Pesos H-2'!$F$11,Flujos!$B49/365))</f>
        <v>0</v>
      </c>
      <c r="I49" s="67">
        <f t="shared" si="1"/>
        <v>44669</v>
      </c>
      <c r="J49" s="6">
        <v>47</v>
      </c>
      <c r="K49" s="68">
        <f t="shared" si="4"/>
        <v>1430</v>
      </c>
      <c r="L49" s="72">
        <f t="shared" si="5"/>
        <v>1755909664.482288</v>
      </c>
      <c r="M49" s="69">
        <f t="shared" si="6"/>
        <v>49437011.333275534</v>
      </c>
      <c r="N49" s="69">
        <f t="shared" si="7"/>
        <v>10617243.800471328</v>
      </c>
      <c r="O49" s="70">
        <f t="shared" si="8"/>
        <v>60054255.13374686</v>
      </c>
    </row>
    <row r="50" spans="1:15" s="27" customFormat="1" ht="12.75">
      <c r="A50" s="170">
        <v>44699</v>
      </c>
      <c r="B50" s="63">
        <f>IF(DIAS365('CALCULADORA TIS Pesos H-2'!$E$6,A50)&lt;0,0,DIAS365('CALCULADORA TIS Pesos H-2'!$E$6,A50))</f>
        <v>0</v>
      </c>
      <c r="C50" s="64">
        <f>+HLOOKUP('CALCULADORA TIS Pesos H-2'!$E$4,Tablas!$B$1:$B$181,Flujos!J50+1,FALSE)</f>
        <v>0.01128556</v>
      </c>
      <c r="D50" s="81">
        <f t="shared" si="0"/>
        <v>46.745429</v>
      </c>
      <c r="E50" s="65">
        <f t="shared" si="2"/>
        <v>1.128556</v>
      </c>
      <c r="F50" s="65">
        <f>ROUND(D49*ROUND(((1+'CALCULADORA TIS Pesos H-2'!$C$14)^(1/12)-1),6),6)</f>
        <v>0.281547</v>
      </c>
      <c r="G50" s="65">
        <f t="shared" si="3"/>
        <v>1.4101029999999999</v>
      </c>
      <c r="H50" s="66">
        <f>IF($B50=0,0,G50/POWER(1+'CALCULADORA TIS Pesos H-2'!$F$11,Flujos!$B50/365))</f>
        <v>0</v>
      </c>
      <c r="I50" s="67">
        <f t="shared" si="1"/>
        <v>44699</v>
      </c>
      <c r="J50" s="6">
        <v>48</v>
      </c>
      <c r="K50" s="68">
        <f t="shared" si="4"/>
        <v>1460</v>
      </c>
      <c r="L50" s="72">
        <f t="shared" si="5"/>
        <v>1714516778.8198667</v>
      </c>
      <c r="M50" s="69">
        <f t="shared" si="6"/>
        <v>41392885.66242129</v>
      </c>
      <c r="N50" s="69">
        <f t="shared" si="7"/>
        <v>10326504.736820335</v>
      </c>
      <c r="O50" s="70">
        <f t="shared" si="8"/>
        <v>51719390.399241626</v>
      </c>
    </row>
    <row r="51" spans="1:15" s="27" customFormat="1" ht="12.75">
      <c r="A51" s="170">
        <v>44730</v>
      </c>
      <c r="B51" s="63">
        <f>IF(DIAS365('CALCULADORA TIS Pesos H-2'!$E$6,A51)&lt;0,0,DIAS365('CALCULADORA TIS Pesos H-2'!$E$6,A51))</f>
        <v>0</v>
      </c>
      <c r="C51" s="64">
        <f>+HLOOKUP('CALCULADORA TIS Pesos H-2'!$E$4,Tablas!$B$1:$B$181,Flujos!J51+1,FALSE)</f>
        <v>0.0164689</v>
      </c>
      <c r="D51" s="81">
        <f t="shared" si="0"/>
        <v>45.098539</v>
      </c>
      <c r="E51" s="65">
        <f t="shared" si="2"/>
        <v>1.64689</v>
      </c>
      <c r="F51" s="65">
        <f>ROUND(D50*ROUND(((1+'CALCULADORA TIS Pesos H-2'!$C$14)^(1/12)-1),6),6)</f>
        <v>0.27491</v>
      </c>
      <c r="G51" s="65">
        <f t="shared" si="3"/>
        <v>1.9218</v>
      </c>
      <c r="H51" s="66">
        <f>IF($B51=0,0,G51/POWER(1+'CALCULADORA TIS Pesos H-2'!$F$11,Flujos!$B51/365))</f>
        <v>0</v>
      </c>
      <c r="I51" s="67">
        <f t="shared" si="1"/>
        <v>44730</v>
      </c>
      <c r="J51" s="6">
        <v>49</v>
      </c>
      <c r="K51" s="68">
        <f t="shared" si="4"/>
        <v>1491</v>
      </c>
      <c r="L51" s="72">
        <f t="shared" si="5"/>
        <v>1654112572.4990594</v>
      </c>
      <c r="M51" s="69">
        <f t="shared" si="6"/>
        <v>60404206.32080731</v>
      </c>
      <c r="N51" s="69">
        <f t="shared" si="7"/>
        <v>10083073.176239636</v>
      </c>
      <c r="O51" s="70">
        <f t="shared" si="8"/>
        <v>70487279.49704695</v>
      </c>
    </row>
    <row r="52" spans="1:15" s="27" customFormat="1" ht="12.75">
      <c r="A52" s="170">
        <v>44760</v>
      </c>
      <c r="B52" s="63">
        <f>IF(DIAS365('CALCULADORA TIS Pesos H-2'!$E$6,A52)&lt;0,0,DIAS365('CALCULADORA TIS Pesos H-2'!$E$6,A52))</f>
        <v>0</v>
      </c>
      <c r="C52" s="64">
        <f>+HLOOKUP('CALCULADORA TIS Pesos H-2'!$E$4,Tablas!$B$1:$B$181,Flujos!J52+1,FALSE)</f>
        <v>0.00895107</v>
      </c>
      <c r="D52" s="81">
        <f t="shared" si="0"/>
        <v>44.203432</v>
      </c>
      <c r="E52" s="65">
        <f t="shared" si="2"/>
        <v>0.895107</v>
      </c>
      <c r="F52" s="65">
        <f>ROUND(D51*ROUND(((1+'CALCULADORA TIS Pesos H-2'!$C$14)^(1/12)-1),6),6)</f>
        <v>0.265225</v>
      </c>
      <c r="G52" s="65">
        <f t="shared" si="3"/>
        <v>1.160332</v>
      </c>
      <c r="H52" s="66">
        <f>IF($B52=0,0,G52/POWER(1+'CALCULADORA TIS Pesos H-2'!$F$11,Flujos!$B52/365))</f>
        <v>0</v>
      </c>
      <c r="I52" s="67">
        <f t="shared" si="1"/>
        <v>44760</v>
      </c>
      <c r="J52" s="6">
        <v>50</v>
      </c>
      <c r="K52" s="68">
        <f t="shared" si="4"/>
        <v>1521</v>
      </c>
      <c r="L52" s="72">
        <f t="shared" si="5"/>
        <v>1621282069.000223</v>
      </c>
      <c r="M52" s="69">
        <f t="shared" si="6"/>
        <v>32830503.498836514</v>
      </c>
      <c r="N52" s="69">
        <f t="shared" si="7"/>
        <v>9727836.038866969</v>
      </c>
      <c r="O52" s="70">
        <f t="shared" si="8"/>
        <v>42558339.537703484</v>
      </c>
    </row>
    <row r="53" spans="1:15" s="27" customFormat="1" ht="12.75">
      <c r="A53" s="170">
        <v>44791</v>
      </c>
      <c r="B53" s="63">
        <f>IF(DIAS365('CALCULADORA TIS Pesos H-2'!$E$6,A53)&lt;0,0,DIAS365('CALCULADORA TIS Pesos H-2'!$E$6,A53))</f>
        <v>0</v>
      </c>
      <c r="C53" s="64">
        <f>+HLOOKUP('CALCULADORA TIS Pesos H-2'!$E$4,Tablas!$B$1:$B$181,Flujos!J53+1,FALSE)</f>
        <v>0.01058841</v>
      </c>
      <c r="D53" s="81">
        <f t="shared" si="0"/>
        <v>43.144591</v>
      </c>
      <c r="E53" s="65">
        <f t="shared" si="2"/>
        <v>1.058841</v>
      </c>
      <c r="F53" s="65">
        <f>ROUND(D52*ROUND(((1+'CALCULADORA TIS Pesos H-2'!$C$14)^(1/12)-1),6),6)</f>
        <v>0.25996</v>
      </c>
      <c r="G53" s="65">
        <f t="shared" si="3"/>
        <v>1.318801</v>
      </c>
      <c r="H53" s="66">
        <f>IF($B53=0,0,G53/POWER(1+'CALCULADORA TIS Pesos H-2'!$F$11,Flujos!$B53/365))</f>
        <v>0</v>
      </c>
      <c r="I53" s="67">
        <f t="shared" si="1"/>
        <v>44791</v>
      </c>
      <c r="J53" s="6">
        <v>51</v>
      </c>
      <c r="K53" s="68">
        <f t="shared" si="4"/>
        <v>1552</v>
      </c>
      <c r="L53" s="72">
        <f t="shared" si="5"/>
        <v>1582446172.1127987</v>
      </c>
      <c r="M53" s="69">
        <f t="shared" si="6"/>
        <v>38835896.887424126</v>
      </c>
      <c r="N53" s="69">
        <f t="shared" si="7"/>
        <v>9534759.84779031</v>
      </c>
      <c r="O53" s="70">
        <f t="shared" si="8"/>
        <v>48370656.735214435</v>
      </c>
    </row>
    <row r="54" spans="1:15" s="27" customFormat="1" ht="12.75">
      <c r="A54" s="170">
        <v>44822</v>
      </c>
      <c r="B54" s="63">
        <f>IF(DIAS365('CALCULADORA TIS Pesos H-2'!$E$6,A54)&lt;0,0,DIAS365('CALCULADORA TIS Pesos H-2'!$E$6,A54))</f>
        <v>0</v>
      </c>
      <c r="C54" s="64">
        <f>+HLOOKUP('CALCULADORA TIS Pesos H-2'!$E$4,Tablas!$B$1:$B$181,Flujos!J54+1,FALSE)</f>
        <v>0.01394401</v>
      </c>
      <c r="D54" s="81">
        <f t="shared" si="0"/>
        <v>41.75019</v>
      </c>
      <c r="E54" s="65">
        <f t="shared" si="2"/>
        <v>1.394401</v>
      </c>
      <c r="F54" s="65">
        <f>ROUND(D53*ROUND(((1+'CALCULADORA TIS Pesos H-2'!$C$14)^(1/12)-1),6),6)</f>
        <v>0.253733</v>
      </c>
      <c r="G54" s="65">
        <f t="shared" si="3"/>
        <v>1.648134</v>
      </c>
      <c r="H54" s="66">
        <f>IF($B54=0,0,G54/POWER(1+'CALCULADORA TIS Pesos H-2'!$F$11,Flujos!$B54/365))</f>
        <v>0</v>
      </c>
      <c r="I54" s="67">
        <f t="shared" si="1"/>
        <v>44822</v>
      </c>
      <c r="J54" s="6">
        <v>52</v>
      </c>
      <c r="K54" s="68">
        <f t="shared" si="4"/>
        <v>1583</v>
      </c>
      <c r="L54" s="72">
        <f t="shared" si="5"/>
        <v>1531302692.1609259</v>
      </c>
      <c r="M54" s="69">
        <f t="shared" si="6"/>
        <v>51143479.95187294</v>
      </c>
      <c r="N54" s="69">
        <f t="shared" si="7"/>
        <v>9306365.938195368</v>
      </c>
      <c r="O54" s="70">
        <f t="shared" si="8"/>
        <v>60449845.89006831</v>
      </c>
    </row>
    <row r="55" spans="1:15" s="27" customFormat="1" ht="12.75">
      <c r="A55" s="170">
        <v>44852</v>
      </c>
      <c r="B55" s="63">
        <f>IF(DIAS365('CALCULADORA TIS Pesos H-2'!$E$6,A55)&lt;0,0,DIAS365('CALCULADORA TIS Pesos H-2'!$E$6,A55))</f>
        <v>0</v>
      </c>
      <c r="C55" s="64">
        <f>+HLOOKUP('CALCULADORA TIS Pesos H-2'!$E$4,Tablas!$B$1:$B$181,Flujos!J55+1,FALSE)</f>
        <v>0.01237428</v>
      </c>
      <c r="D55" s="81">
        <f t="shared" si="0"/>
        <v>40.512762</v>
      </c>
      <c r="E55" s="65">
        <f t="shared" si="2"/>
        <v>1.237428</v>
      </c>
      <c r="F55" s="65">
        <f>ROUND(D54*ROUND(((1+'CALCULADORA TIS Pesos H-2'!$C$14)^(1/12)-1),6),6)</f>
        <v>0.245533</v>
      </c>
      <c r="G55" s="65">
        <f t="shared" si="3"/>
        <v>1.482961</v>
      </c>
      <c r="H55" s="66">
        <f>IF($B55=0,0,G55/POWER(1+'CALCULADORA TIS Pesos H-2'!$F$11,Flujos!$B55/365))</f>
        <v>0</v>
      </c>
      <c r="I55" s="67">
        <f t="shared" si="1"/>
        <v>44852</v>
      </c>
      <c r="J55" s="6">
        <v>53</v>
      </c>
      <c r="K55" s="68">
        <f t="shared" si="4"/>
        <v>1613</v>
      </c>
      <c r="L55" s="72">
        <f t="shared" si="5"/>
        <v>1485916627.3848062</v>
      </c>
      <c r="M55" s="69">
        <f t="shared" si="6"/>
        <v>45386064.7761198</v>
      </c>
      <c r="N55" s="69">
        <f t="shared" si="7"/>
        <v>9005591.132598406</v>
      </c>
      <c r="O55" s="70">
        <f t="shared" si="8"/>
        <v>54391655.908718206</v>
      </c>
    </row>
    <row r="56" spans="1:15" s="27" customFormat="1" ht="12.75">
      <c r="A56" s="170">
        <v>44883</v>
      </c>
      <c r="B56" s="63">
        <f>IF(DIAS365('CALCULADORA TIS Pesos H-2'!$E$6,A56)&lt;0,0,DIAS365('CALCULADORA TIS Pesos H-2'!$E$6,A56))</f>
        <v>0</v>
      </c>
      <c r="C56" s="64">
        <f>+HLOOKUP('CALCULADORA TIS Pesos H-2'!$E$4,Tablas!$B$1:$B$181,Flujos!J56+1,FALSE)</f>
        <v>0.0110615</v>
      </c>
      <c r="D56" s="81">
        <f t="shared" si="0"/>
        <v>39.406612</v>
      </c>
      <c r="E56" s="65">
        <f t="shared" si="2"/>
        <v>1.10615</v>
      </c>
      <c r="F56" s="65">
        <f>ROUND(D55*ROUND(((1+'CALCULADORA TIS Pesos H-2'!$C$14)^(1/12)-1),6),6)</f>
        <v>0.238256</v>
      </c>
      <c r="G56" s="65">
        <f t="shared" si="3"/>
        <v>1.344406</v>
      </c>
      <c r="H56" s="66">
        <f>IF($B56=0,0,G56/POWER(1+'CALCULADORA TIS Pesos H-2'!$F$11,Flujos!$B56/365))</f>
        <v>0</v>
      </c>
      <c r="I56" s="67">
        <f t="shared" si="1"/>
        <v>44883</v>
      </c>
      <c r="J56" s="6">
        <v>54</v>
      </c>
      <c r="K56" s="68">
        <f t="shared" si="4"/>
        <v>1644</v>
      </c>
      <c r="L56" s="72">
        <f t="shared" si="5"/>
        <v>1445345543.2068944</v>
      </c>
      <c r="M56" s="69">
        <f t="shared" si="6"/>
        <v>40571084.1779117</v>
      </c>
      <c r="N56" s="69">
        <f t="shared" si="7"/>
        <v>8738675.685650045</v>
      </c>
      <c r="O56" s="70">
        <f t="shared" si="8"/>
        <v>49309759.86356174</v>
      </c>
    </row>
    <row r="57" spans="1:15" ht="12.75">
      <c r="A57" s="170">
        <v>44913</v>
      </c>
      <c r="B57" s="35">
        <f>IF(DIAS365('CALCULADORA TIS Pesos H-2'!$E$6,A57)&lt;0,0,DIAS365('CALCULADORA TIS Pesos H-2'!$E$6,A57))</f>
        <v>0</v>
      </c>
      <c r="C57" s="36">
        <f>+HLOOKUP('CALCULADORA TIS Pesos H-2'!$E$4,Tablas!$B$1:$B$181,Flujos!J57+1,FALSE)</f>
        <v>0.01047459</v>
      </c>
      <c r="D57" s="76">
        <f t="shared" si="0"/>
        <v>38.359153</v>
      </c>
      <c r="E57" s="37">
        <f t="shared" si="2"/>
        <v>1.047459</v>
      </c>
      <c r="F57" s="37">
        <f>ROUND(D56*ROUND(((1+'CALCULADORA TIS Pesos H-2'!$C$14)^(1/12)-1),6),6)</f>
        <v>0.23175</v>
      </c>
      <c r="G57" s="37">
        <f t="shared" si="3"/>
        <v>1.2792089999999998</v>
      </c>
      <c r="H57" s="38">
        <f>IF($B57=0,0,G57/POWER(1+'CALCULADORA TIS Pesos H-2'!$F$11,Flujos!$B57/365))</f>
        <v>0</v>
      </c>
      <c r="I57" s="39">
        <f t="shared" si="1"/>
        <v>44913</v>
      </c>
      <c r="J57" s="40">
        <v>55</v>
      </c>
      <c r="K57" s="41">
        <f t="shared" si="4"/>
        <v>1674</v>
      </c>
      <c r="L57" s="42">
        <f t="shared" si="5"/>
        <v>1406927112.377521</v>
      </c>
      <c r="M57" s="43">
        <f t="shared" si="6"/>
        <v>38418430.82937324</v>
      </c>
      <c r="N57" s="43">
        <f t="shared" si="7"/>
        <v>8500077.139599746</v>
      </c>
      <c r="O57" s="44">
        <f t="shared" si="8"/>
        <v>46918507.96897299</v>
      </c>
    </row>
    <row r="58" spans="1:15" ht="12.75">
      <c r="A58" s="170">
        <v>44944</v>
      </c>
      <c r="B58" s="35">
        <f>IF(DIAS365('CALCULADORA TIS Pesos H-2'!$E$6,A58)&lt;0,0,DIAS365('CALCULADORA TIS Pesos H-2'!$E$6,A58))</f>
        <v>0</v>
      </c>
      <c r="C58" s="36">
        <f>+HLOOKUP('CALCULADORA TIS Pesos H-2'!$E$4,Tablas!$B$1:$B$181,Flujos!J58+1,FALSE)</f>
        <v>0.01206691</v>
      </c>
      <c r="D58" s="76">
        <f t="shared" si="0"/>
        <v>37.152462</v>
      </c>
      <c r="E58" s="37">
        <f t="shared" si="2"/>
        <v>1.206691</v>
      </c>
      <c r="F58" s="37">
        <f>ROUND(D57*ROUND(((1+'CALCULADORA TIS Pesos H-2'!$C$14)^(1/12)-1),6),6)</f>
        <v>0.22559</v>
      </c>
      <c r="G58" s="37">
        <f t="shared" si="3"/>
        <v>1.432281</v>
      </c>
      <c r="H58" s="38">
        <f>IF($B58=0,0,G58/POWER(1+'CALCULADORA TIS Pesos H-2'!$F$11,Flujos!$B58/365))</f>
        <v>0</v>
      </c>
      <c r="I58" s="39">
        <f t="shared" si="1"/>
        <v>44944</v>
      </c>
      <c r="J58" s="40">
        <v>56</v>
      </c>
      <c r="K58" s="41">
        <f t="shared" si="4"/>
        <v>1705</v>
      </c>
      <c r="L58" s="42">
        <f t="shared" si="5"/>
        <v>1362668411.3534932</v>
      </c>
      <c r="M58" s="43">
        <f t="shared" si="6"/>
        <v>44258701.024027884</v>
      </c>
      <c r="N58" s="43">
        <f t="shared" si="7"/>
        <v>8274138.3478922015</v>
      </c>
      <c r="O58" s="44">
        <f t="shared" si="8"/>
        <v>52532839.37192009</v>
      </c>
    </row>
    <row r="59" spans="1:15" s="27" customFormat="1" ht="12.75">
      <c r="A59" s="170">
        <v>44975</v>
      </c>
      <c r="B59" s="63">
        <f>IF(DIAS365('CALCULADORA TIS Pesos H-2'!$E$6,A59)&lt;0,0,DIAS365('CALCULADORA TIS Pesos H-2'!$E$6,A59))</f>
        <v>0</v>
      </c>
      <c r="C59" s="64">
        <f>+HLOOKUP('CALCULADORA TIS Pesos H-2'!$E$4,Tablas!$B$1:$B$181,Flujos!J59+1,FALSE)</f>
        <v>0.00814017</v>
      </c>
      <c r="D59" s="81">
        <f t="shared" si="0"/>
        <v>36.338445</v>
      </c>
      <c r="E59" s="65">
        <f t="shared" si="2"/>
        <v>0.814017</v>
      </c>
      <c r="F59" s="65">
        <f>ROUND(D58*ROUND(((1+'CALCULADORA TIS Pesos H-2'!$C$14)^(1/12)-1),6),6)</f>
        <v>0.218494</v>
      </c>
      <c r="G59" s="65">
        <f t="shared" si="3"/>
        <v>1.032511</v>
      </c>
      <c r="H59" s="66">
        <f>IF($B59=0,0,G59/POWER(1+'CALCULADORA TIS Pesos H-2'!$F$11,Flujos!$B59/365))</f>
        <v>0</v>
      </c>
      <c r="I59" s="67">
        <f t="shared" si="1"/>
        <v>44975</v>
      </c>
      <c r="J59" s="6">
        <v>57</v>
      </c>
      <c r="K59" s="68">
        <f t="shared" si="4"/>
        <v>1736</v>
      </c>
      <c r="L59" s="72">
        <f t="shared" si="5"/>
        <v>1332812105.9435117</v>
      </c>
      <c r="M59" s="69">
        <f t="shared" si="6"/>
        <v>29856305.4099816</v>
      </c>
      <c r="N59" s="69">
        <f t="shared" si="7"/>
        <v>8013852.927169894</v>
      </c>
      <c r="O59" s="70">
        <f t="shared" si="8"/>
        <v>37870158.3371515</v>
      </c>
    </row>
    <row r="60" spans="1:15" s="27" customFormat="1" ht="12.75">
      <c r="A60" s="170">
        <v>45003</v>
      </c>
      <c r="B60" s="63">
        <f>IF(DIAS365('CALCULADORA TIS Pesos H-2'!$E$6,A60)&lt;0,0,DIAS365('CALCULADORA TIS Pesos H-2'!$E$6,A60))</f>
        <v>0</v>
      </c>
      <c r="C60" s="64">
        <f>+HLOOKUP('CALCULADORA TIS Pesos H-2'!$E$4,Tablas!$B$1:$B$181,Flujos!J60+1,FALSE)</f>
        <v>0.00875394</v>
      </c>
      <c r="D60" s="81">
        <f t="shared" si="0"/>
        <v>35.463051</v>
      </c>
      <c r="E60" s="65">
        <f t="shared" si="2"/>
        <v>0.875394</v>
      </c>
      <c r="F60" s="65">
        <f>ROUND(D59*ROUND(((1+'CALCULADORA TIS Pesos H-2'!$C$14)^(1/12)-1),6),6)</f>
        <v>0.213706</v>
      </c>
      <c r="G60" s="65">
        <f t="shared" si="3"/>
        <v>1.0891</v>
      </c>
      <c r="H60" s="66">
        <f>IF($B60=0,0,G60/POWER(1+'CALCULADORA TIS Pesos H-2'!$F$11,Flujos!$B60/365))</f>
        <v>0</v>
      </c>
      <c r="I60" s="67">
        <f t="shared" si="1"/>
        <v>45003</v>
      </c>
      <c r="J60" s="6">
        <v>58</v>
      </c>
      <c r="K60" s="68">
        <f t="shared" si="4"/>
        <v>1764</v>
      </c>
      <c r="L60" s="72">
        <f t="shared" si="5"/>
        <v>1300704630.7703085</v>
      </c>
      <c r="M60" s="69">
        <f t="shared" si="6"/>
        <v>32107475.173203304</v>
      </c>
      <c r="N60" s="69">
        <f t="shared" si="7"/>
        <v>7838267.995053792</v>
      </c>
      <c r="O60" s="70">
        <f t="shared" si="8"/>
        <v>39945743.168257095</v>
      </c>
    </row>
    <row r="61" spans="1:15" s="27" customFormat="1" ht="12.75">
      <c r="A61" s="170">
        <v>45034</v>
      </c>
      <c r="B61" s="63">
        <f>IF(DIAS365('CALCULADORA TIS Pesos H-2'!$E$6,A61)&lt;0,0,DIAS365('CALCULADORA TIS Pesos H-2'!$E$6,A61))</f>
        <v>0</v>
      </c>
      <c r="C61" s="64">
        <f>+HLOOKUP('CALCULADORA TIS Pesos H-2'!$E$4,Tablas!$B$1:$B$181,Flujos!J61+1,FALSE)</f>
        <v>0.01058185</v>
      </c>
      <c r="D61" s="81">
        <f t="shared" si="0"/>
        <v>34.404866</v>
      </c>
      <c r="E61" s="65">
        <f t="shared" si="2"/>
        <v>1.058185</v>
      </c>
      <c r="F61" s="65">
        <f>ROUND(D60*ROUND(((1+'CALCULADORA TIS Pesos H-2'!$C$14)^(1/12)-1),6),6)</f>
        <v>0.208558</v>
      </c>
      <c r="G61" s="65">
        <f t="shared" si="3"/>
        <v>1.266743</v>
      </c>
      <c r="H61" s="66">
        <f>IF($B61=0,0,G61/POWER(1+'CALCULADORA TIS Pesos H-2'!$F$11,Flujos!$B61/365))</f>
        <v>0</v>
      </c>
      <c r="I61" s="67">
        <f t="shared" si="1"/>
        <v>45034</v>
      </c>
      <c r="J61" s="6">
        <v>59</v>
      </c>
      <c r="K61" s="68">
        <f t="shared" si="4"/>
        <v>1795</v>
      </c>
      <c r="L61" s="72">
        <f t="shared" si="5"/>
        <v>1261892794.4815562</v>
      </c>
      <c r="M61" s="69">
        <f t="shared" si="6"/>
        <v>38811836.28875242</v>
      </c>
      <c r="N61" s="69">
        <f t="shared" si="7"/>
        <v>7649443.933560184</v>
      </c>
      <c r="O61" s="70">
        <f t="shared" si="8"/>
        <v>46461280.22231261</v>
      </c>
    </row>
    <row r="62" spans="1:15" s="27" customFormat="1" ht="12.75">
      <c r="A62" s="170">
        <v>45064</v>
      </c>
      <c r="B62" s="63">
        <f>IF(DIAS365('CALCULADORA TIS Pesos H-2'!$E$6,A62)&lt;0,0,DIAS365('CALCULADORA TIS Pesos H-2'!$E$6,A62))</f>
        <v>0</v>
      </c>
      <c r="C62" s="64">
        <f>+HLOOKUP('CALCULADORA TIS Pesos H-2'!$E$4,Tablas!$B$1:$B$181,Flujos!J62+1,FALSE)</f>
        <v>0.0107756</v>
      </c>
      <c r="D62" s="81">
        <f t="shared" si="0"/>
        <v>33.327306</v>
      </c>
      <c r="E62" s="65">
        <f t="shared" si="2"/>
        <v>1.07756</v>
      </c>
      <c r="F62" s="65">
        <f>ROUND(D61*ROUND(((1+'CALCULADORA TIS Pesos H-2'!$C$14)^(1/12)-1),6),6)</f>
        <v>0.202335</v>
      </c>
      <c r="G62" s="65">
        <f t="shared" si="3"/>
        <v>1.279895</v>
      </c>
      <c r="H62" s="66">
        <f>IF($B62=0,0,G62/POWER(1+'CALCULADORA TIS Pesos H-2'!$F$11,Flujos!$B62/365))</f>
        <v>0</v>
      </c>
      <c r="I62" s="67">
        <f t="shared" si="1"/>
        <v>45064</v>
      </c>
      <c r="J62" s="6">
        <v>60</v>
      </c>
      <c r="K62" s="68">
        <f t="shared" si="4"/>
        <v>1825</v>
      </c>
      <c r="L62" s="72">
        <f t="shared" si="5"/>
        <v>1222370326.9439251</v>
      </c>
      <c r="M62" s="69">
        <f t="shared" si="6"/>
        <v>39522467.537631</v>
      </c>
      <c r="N62" s="69">
        <f t="shared" si="7"/>
        <v>7421191.524346032</v>
      </c>
      <c r="O62" s="70">
        <f t="shared" si="8"/>
        <v>46943659.06197703</v>
      </c>
    </row>
    <row r="63" spans="1:15" s="27" customFormat="1" ht="12.75">
      <c r="A63" s="170">
        <v>45095</v>
      </c>
      <c r="B63" s="63">
        <f>IF(DIAS365('CALCULADORA TIS Pesos H-2'!$E$6,A63)&lt;0,0,DIAS365('CALCULADORA TIS Pesos H-2'!$E$6,A63))</f>
        <v>0</v>
      </c>
      <c r="C63" s="64">
        <f>+HLOOKUP('CALCULADORA TIS Pesos H-2'!$E$4,Tablas!$B$1:$B$181,Flujos!J63+1,FALSE)</f>
        <v>0.01096763</v>
      </c>
      <c r="D63" s="81">
        <f t="shared" si="0"/>
        <v>32.230543</v>
      </c>
      <c r="E63" s="65">
        <f t="shared" si="2"/>
        <v>1.096763</v>
      </c>
      <c r="F63" s="65">
        <f>ROUND(D62*ROUND(((1+'CALCULADORA TIS Pesos H-2'!$C$14)^(1/12)-1),6),6)</f>
        <v>0.195998</v>
      </c>
      <c r="G63" s="65">
        <f t="shared" si="3"/>
        <v>1.292761</v>
      </c>
      <c r="H63" s="66">
        <f>IF($B63=0,0,G63/POWER(1+'CALCULADORA TIS Pesos H-2'!$F$11,Flujos!$B63/365))</f>
        <v>0</v>
      </c>
      <c r="I63" s="67">
        <f t="shared" si="1"/>
        <v>45095</v>
      </c>
      <c r="J63" s="6">
        <v>61</v>
      </c>
      <c r="K63" s="68">
        <f t="shared" si="4"/>
        <v>1856</v>
      </c>
      <c r="L63" s="72">
        <f t="shared" si="5"/>
        <v>1182143536.7290184</v>
      </c>
      <c r="M63" s="69">
        <f t="shared" si="6"/>
        <v>40226790.21490663</v>
      </c>
      <c r="N63" s="69">
        <f t="shared" si="7"/>
        <v>7188759.892757224</v>
      </c>
      <c r="O63" s="70">
        <f t="shared" si="8"/>
        <v>47415550.107663855</v>
      </c>
    </row>
    <row r="64" spans="1:15" s="27" customFormat="1" ht="12.75">
      <c r="A64" s="170">
        <v>45125</v>
      </c>
      <c r="B64" s="63">
        <f>IF(DIAS365('CALCULADORA TIS Pesos H-2'!$E$6,A64)&lt;0,0,DIAS365('CALCULADORA TIS Pesos H-2'!$E$6,A64))</f>
        <v>0</v>
      </c>
      <c r="C64" s="64">
        <f>+HLOOKUP('CALCULADORA TIS Pesos H-2'!$E$4,Tablas!$B$1:$B$181,Flujos!J64+1,FALSE)</f>
        <v>0.00899119</v>
      </c>
      <c r="D64" s="81">
        <f t="shared" si="0"/>
        <v>31.331424</v>
      </c>
      <c r="E64" s="65">
        <f t="shared" si="2"/>
        <v>0.899119</v>
      </c>
      <c r="F64" s="65">
        <f>ROUND(D63*ROUND(((1+'CALCULADORA TIS Pesos H-2'!$C$14)^(1/12)-1),6),6)</f>
        <v>0.189548</v>
      </c>
      <c r="G64" s="65">
        <f t="shared" si="3"/>
        <v>1.088667</v>
      </c>
      <c r="H64" s="66">
        <f>IF($B64=0,0,G64/POWER(1+'CALCULADORA TIS Pesos H-2'!$F$11,Flujos!$B64/365))</f>
        <v>0</v>
      </c>
      <c r="I64" s="67">
        <f t="shared" si="1"/>
        <v>45125</v>
      </c>
      <c r="J64" s="6">
        <v>62</v>
      </c>
      <c r="K64" s="68">
        <f t="shared" si="4"/>
        <v>1886</v>
      </c>
      <c r="L64" s="72">
        <f t="shared" si="5"/>
        <v>1149165882.129769</v>
      </c>
      <c r="M64" s="69">
        <f t="shared" si="6"/>
        <v>32977654.599249456</v>
      </c>
      <c r="N64" s="69">
        <f t="shared" si="7"/>
        <v>6952186.139503357</v>
      </c>
      <c r="O64" s="70">
        <f t="shared" si="8"/>
        <v>39929840.73875281</v>
      </c>
    </row>
    <row r="65" spans="1:15" s="27" customFormat="1" ht="12.75">
      <c r="A65" s="170">
        <v>45156</v>
      </c>
      <c r="B65" s="63">
        <f>IF(DIAS365('CALCULADORA TIS Pesos H-2'!$E$6,A65)&lt;0,0,DIAS365('CALCULADORA TIS Pesos H-2'!$E$6,A65))</f>
        <v>0</v>
      </c>
      <c r="C65" s="64">
        <f>+HLOOKUP('CALCULADORA TIS Pesos H-2'!$E$4,Tablas!$B$1:$B$181,Flujos!J65+1,FALSE)</f>
        <v>0.0108828</v>
      </c>
      <c r="D65" s="81">
        <f t="shared" si="0"/>
        <v>30.243144</v>
      </c>
      <c r="E65" s="65">
        <f t="shared" si="2"/>
        <v>1.08828</v>
      </c>
      <c r="F65" s="65">
        <f>ROUND(D64*ROUND(((1+'CALCULADORA TIS Pesos H-2'!$C$14)^(1/12)-1),6),6)</f>
        <v>0.18426</v>
      </c>
      <c r="G65" s="65">
        <f t="shared" si="3"/>
        <v>1.27254</v>
      </c>
      <c r="H65" s="66">
        <f>IF($B65=0,0,G65/POWER(1+'CALCULADORA TIS Pesos H-2'!$F$11,Flujos!$B65/365))</f>
        <v>0</v>
      </c>
      <c r="I65" s="67">
        <f t="shared" si="1"/>
        <v>45156</v>
      </c>
      <c r="J65" s="6">
        <v>63</v>
      </c>
      <c r="K65" s="68">
        <f t="shared" si="4"/>
        <v>1917</v>
      </c>
      <c r="L65" s="72">
        <f t="shared" si="5"/>
        <v>1109250229.1992102</v>
      </c>
      <c r="M65" s="69">
        <f t="shared" si="6"/>
        <v>39915652.93055891</v>
      </c>
      <c r="N65" s="69">
        <f t="shared" si="7"/>
        <v>6758244.552805172</v>
      </c>
      <c r="O65" s="70">
        <f t="shared" si="8"/>
        <v>46673897.48336408</v>
      </c>
    </row>
    <row r="66" spans="1:15" s="27" customFormat="1" ht="12.75">
      <c r="A66" s="170">
        <v>45187</v>
      </c>
      <c r="B66" s="63">
        <f>IF(DIAS365('CALCULADORA TIS Pesos H-2'!$E$6,A66)&lt;0,0,DIAS365('CALCULADORA TIS Pesos H-2'!$E$6,A66))</f>
        <v>0</v>
      </c>
      <c r="C66" s="64">
        <f>+HLOOKUP('CALCULADORA TIS Pesos H-2'!$E$4,Tablas!$B$1:$B$181,Flujos!J66+1,FALSE)</f>
        <v>0.0096454</v>
      </c>
      <c r="D66" s="81">
        <f t="shared" si="0"/>
        <v>29.278604</v>
      </c>
      <c r="E66" s="65">
        <f t="shared" si="2"/>
        <v>0.96454</v>
      </c>
      <c r="F66" s="65">
        <f>ROUND(D65*ROUND(((1+'CALCULADORA TIS Pesos H-2'!$C$14)^(1/12)-1),6),6)</f>
        <v>0.17786</v>
      </c>
      <c r="G66" s="65">
        <f t="shared" si="3"/>
        <v>1.1423999999999999</v>
      </c>
      <c r="H66" s="66">
        <f>IF($B66=0,0,G66/POWER(1+'CALCULADORA TIS Pesos H-2'!$F$11,Flujos!$B66/365))</f>
        <v>0</v>
      </c>
      <c r="I66" s="67">
        <f t="shared" si="1"/>
        <v>45187</v>
      </c>
      <c r="J66" s="6">
        <v>64</v>
      </c>
      <c r="K66" s="68">
        <f t="shared" si="4"/>
        <v>1948</v>
      </c>
      <c r="L66" s="72">
        <f t="shared" si="5"/>
        <v>1073873080.048586</v>
      </c>
      <c r="M66" s="69">
        <f t="shared" si="6"/>
        <v>35377149.15062419</v>
      </c>
      <c r="N66" s="69">
        <f t="shared" si="7"/>
        <v>6523500.597920555</v>
      </c>
      <c r="O66" s="70">
        <f t="shared" si="8"/>
        <v>41900649.748544745</v>
      </c>
    </row>
    <row r="67" spans="1:15" s="27" customFormat="1" ht="12.75">
      <c r="A67" s="170">
        <v>45217</v>
      </c>
      <c r="B67" s="63">
        <f>IF(DIAS365('CALCULADORA TIS Pesos H-2'!$E$6,A67)&lt;0,0,DIAS365('CALCULADORA TIS Pesos H-2'!$E$6,A67))</f>
        <v>0</v>
      </c>
      <c r="C67" s="64">
        <f>+HLOOKUP('CALCULADORA TIS Pesos H-2'!$E$4,Tablas!$B$1:$B$181,Flujos!J67+1,FALSE)</f>
        <v>0.01013966</v>
      </c>
      <c r="D67" s="81">
        <f aca="true" t="shared" si="9" ref="D67:D130">IF(+ROUND(D66-E67,15)&lt;0.000001,0,ROUND(D66-E67,15))</f>
        <v>28.264638</v>
      </c>
      <c r="E67" s="65">
        <f t="shared" si="2"/>
        <v>1.013966</v>
      </c>
      <c r="F67" s="65">
        <f>ROUND(D66*ROUND(((1+'CALCULADORA TIS Pesos H-2'!$C$14)^(1/12)-1),6),6)</f>
        <v>0.172187</v>
      </c>
      <c r="G67" s="65">
        <f t="shared" si="3"/>
        <v>1.186153</v>
      </c>
      <c r="H67" s="66">
        <f>IF($B67=0,0,G67/POWER(1+'CALCULADORA TIS Pesos H-2'!$F$11,Flujos!$B67/365))</f>
        <v>0</v>
      </c>
      <c r="I67" s="67">
        <f aca="true" t="shared" si="10" ref="I67:I130">+A67</f>
        <v>45217</v>
      </c>
      <c r="J67" s="6">
        <v>65</v>
      </c>
      <c r="K67" s="68">
        <f t="shared" si="4"/>
        <v>1978</v>
      </c>
      <c r="L67" s="72">
        <f t="shared" si="5"/>
        <v>1036683096.8279192</v>
      </c>
      <c r="M67" s="69">
        <f t="shared" si="6"/>
        <v>37189983.22066665</v>
      </c>
      <c r="N67" s="69">
        <f t="shared" si="7"/>
        <v>6315447.583765734</v>
      </c>
      <c r="O67" s="70">
        <f t="shared" si="8"/>
        <v>43505430.80443238</v>
      </c>
    </row>
    <row r="68" spans="1:15" s="168" customFormat="1" ht="12.75">
      <c r="A68" s="176">
        <v>45248</v>
      </c>
      <c r="B68" s="177">
        <f>IF(DIAS365('CALCULADORA TIS Pesos H-2'!$E$6,A68)&lt;0,0,DIAS365('CALCULADORA TIS Pesos H-2'!$E$6,A68))</f>
        <v>0</v>
      </c>
      <c r="C68" s="178">
        <f>+HLOOKUP('CALCULADORA TIS Pesos H-2'!$E$4,Tablas!$B$1:$B$181,Flujos!J68+1,FALSE)</f>
        <v>0.01000146</v>
      </c>
      <c r="D68" s="179">
        <f t="shared" si="9"/>
        <v>27.264492</v>
      </c>
      <c r="E68" s="180">
        <f aca="true" t="shared" si="11" ref="E68:E131">ROUND(C68*$D$2,6)</f>
        <v>1.000146</v>
      </c>
      <c r="F68" s="180">
        <f>ROUND(D67*ROUND(((1+'CALCULADORA TIS Pesos H-2'!$C$14)^(1/12)-1),6),6)</f>
        <v>0.166224</v>
      </c>
      <c r="G68" s="180">
        <f aca="true" t="shared" si="12" ref="G68:G131">F68+E68</f>
        <v>1.16637</v>
      </c>
      <c r="H68" s="181">
        <f>IF($B68=0,0,G68/POWER(1+'CALCULADORA TIS Pesos H-2'!$F$11,Flujos!$B68/365))</f>
        <v>0</v>
      </c>
      <c r="I68" s="182">
        <f t="shared" si="10"/>
        <v>45248</v>
      </c>
      <c r="J68" s="183">
        <v>66</v>
      </c>
      <c r="K68" s="184">
        <f aca="true" t="shared" si="13" ref="K68:K131">+DIAS365($A$2,A68)</f>
        <v>2009</v>
      </c>
      <c r="L68" s="185">
        <f aca="true" t="shared" si="14" ref="L68:L131">IF(+(L67-M68)&lt;0,0,(L67-M68))</f>
        <v>1000000000.0000011</v>
      </c>
      <c r="M68" s="186">
        <f aca="true" t="shared" si="15" ref="M68:M131">+$L$2*C68</f>
        <v>36683096.827918164</v>
      </c>
      <c r="N68" s="186">
        <f aca="true" t="shared" si="16" ref="N68:N131">+L67*$F$3%</f>
        <v>6096733.292444993</v>
      </c>
      <c r="O68" s="187">
        <f aca="true" t="shared" si="17" ref="O68:O131">+N68+M68</f>
        <v>42779830.12036316</v>
      </c>
    </row>
    <row r="69" spans="1:15" ht="12.75">
      <c r="A69" s="170">
        <v>45278</v>
      </c>
      <c r="B69" s="35">
        <f>IF(DIAS365('CALCULADORA TIS Pesos H-2'!$E$6,A69)&lt;0,0,DIAS365('CALCULADORA TIS Pesos H-2'!$E$6,A69))</f>
        <v>30</v>
      </c>
      <c r="C69" s="36">
        <f>+HLOOKUP('CALCULADORA TIS Pesos H-2'!$E$4,Tablas!$B$1:$B$181,Flujos!J69+1,FALSE)</f>
        <v>0.00983024</v>
      </c>
      <c r="D69" s="76">
        <f t="shared" si="9"/>
        <v>26.281468</v>
      </c>
      <c r="E69" s="37">
        <f t="shared" si="11"/>
        <v>0.983024</v>
      </c>
      <c r="F69" s="37">
        <f>ROUND(D68*ROUND(((1+'CALCULADORA TIS Pesos H-2'!$C$14)^(1/12)-1),6),6)</f>
        <v>0.160342</v>
      </c>
      <c r="G69" s="37">
        <f t="shared" si="12"/>
        <v>1.143366</v>
      </c>
      <c r="H69" s="38">
        <f>IF($B69=0,0,G69/POWER(1+'CALCULADORA TIS Pesos H-2'!$F$11,Flujos!$B69/365))</f>
        <v>1.1338949686167201</v>
      </c>
      <c r="I69" s="39">
        <f t="shared" si="10"/>
        <v>45278</v>
      </c>
      <c r="J69" s="40">
        <v>67</v>
      </c>
      <c r="K69" s="41">
        <f t="shared" si="13"/>
        <v>2039</v>
      </c>
      <c r="L69" s="42">
        <f t="shared" si="14"/>
        <v>963944899.4685112</v>
      </c>
      <c r="M69" s="43">
        <f t="shared" si="15"/>
        <v>36055100.53148983</v>
      </c>
      <c r="N69" s="43">
        <f t="shared" si="16"/>
        <v>5881000.0000000065</v>
      </c>
      <c r="O69" s="44">
        <f t="shared" si="17"/>
        <v>41936100.531489834</v>
      </c>
    </row>
    <row r="70" spans="1:15" ht="12.75">
      <c r="A70" s="170">
        <v>45309</v>
      </c>
      <c r="B70" s="35">
        <f>IF(DIAS365('CALCULADORA TIS Pesos H-2'!$E$6,A70)&lt;0,0,DIAS365('CALCULADORA TIS Pesos H-2'!$E$6,A70))</f>
        <v>61</v>
      </c>
      <c r="C70" s="36">
        <f>+HLOOKUP('CALCULADORA TIS Pesos H-2'!$E$4,Tablas!$B$1:$B$181,Flujos!J70+1,FALSE)</f>
        <v>0.00971301</v>
      </c>
      <c r="D70" s="76">
        <f t="shared" si="9"/>
        <v>25.310167</v>
      </c>
      <c r="E70" s="37">
        <f t="shared" si="11"/>
        <v>0.971301</v>
      </c>
      <c r="F70" s="37">
        <f>ROUND(D69*ROUND(((1+'CALCULADORA TIS Pesos H-2'!$C$14)^(1/12)-1),6),6)</f>
        <v>0.154561</v>
      </c>
      <c r="G70" s="37">
        <f t="shared" si="12"/>
        <v>1.125862</v>
      </c>
      <c r="H70" s="38">
        <f>IF($B70=0,0,G70/POWER(1+'CALCULADORA TIS Pesos H-2'!$F$11,Flujos!$B70/365))</f>
        <v>1.106980206756313</v>
      </c>
      <c r="I70" s="39">
        <f t="shared" si="10"/>
        <v>45309</v>
      </c>
      <c r="J70" s="40">
        <v>68</v>
      </c>
      <c r="K70" s="41">
        <f t="shared" si="13"/>
        <v>2070</v>
      </c>
      <c r="L70" s="42">
        <f t="shared" si="14"/>
        <v>928319772.1050526</v>
      </c>
      <c r="M70" s="43">
        <f t="shared" si="15"/>
        <v>35625127.36345867</v>
      </c>
      <c r="N70" s="43">
        <f t="shared" si="16"/>
        <v>5668959.953774314</v>
      </c>
      <c r="O70" s="44">
        <f t="shared" si="17"/>
        <v>41294087.31723298</v>
      </c>
    </row>
    <row r="71" spans="1:15" ht="12.75">
      <c r="A71" s="170">
        <v>45340</v>
      </c>
      <c r="B71" s="35">
        <f>IF(DIAS365('CALCULADORA TIS Pesos H-2'!$E$6,A71)&lt;0,0,DIAS365('CALCULADORA TIS Pesos H-2'!$E$6,A71))</f>
        <v>92</v>
      </c>
      <c r="C71" s="36">
        <f>+HLOOKUP('CALCULADORA TIS Pesos H-2'!$E$4,Tablas!$B$1:$B$181,Flujos!J71+1,FALSE)</f>
        <v>0.00955811</v>
      </c>
      <c r="D71" s="76">
        <f t="shared" si="9"/>
        <v>24.354356</v>
      </c>
      <c r="E71" s="37">
        <f t="shared" si="11"/>
        <v>0.955811</v>
      </c>
      <c r="F71" s="37">
        <f>ROUND(D70*ROUND(((1+'CALCULADORA TIS Pesos H-2'!$C$14)^(1/12)-1),6),6)</f>
        <v>0.148849</v>
      </c>
      <c r="G71" s="37">
        <f t="shared" si="12"/>
        <v>1.10466</v>
      </c>
      <c r="H71" s="38">
        <f>IF($B71=0,0,G71/POWER(1+'CALCULADORA TIS Pesos H-2'!$F$11,Flujos!$B71/365))</f>
        <v>1.0768382229972302</v>
      </c>
      <c r="I71" s="39">
        <f t="shared" si="10"/>
        <v>45340</v>
      </c>
      <c r="J71" s="40">
        <v>69</v>
      </c>
      <c r="K71" s="41">
        <f t="shared" si="13"/>
        <v>2101</v>
      </c>
      <c r="L71" s="42">
        <f t="shared" si="14"/>
        <v>893262782.963278</v>
      </c>
      <c r="M71" s="43">
        <f t="shared" si="15"/>
        <v>35056989.14177459</v>
      </c>
      <c r="N71" s="43">
        <f t="shared" si="16"/>
        <v>5459448.579749814</v>
      </c>
      <c r="O71" s="44">
        <f t="shared" si="17"/>
        <v>40516437.7215244</v>
      </c>
    </row>
    <row r="72" spans="1:15" ht="12.75">
      <c r="A72" s="170">
        <v>45369</v>
      </c>
      <c r="B72" s="35">
        <f>IF(DIAS365('CALCULADORA TIS Pesos H-2'!$E$6,A72)&lt;0,0,DIAS365('CALCULADORA TIS Pesos H-2'!$E$6,A72))</f>
        <v>120</v>
      </c>
      <c r="C72" s="36">
        <f>+HLOOKUP('CALCULADORA TIS Pesos H-2'!$E$4,Tablas!$B$1:$B$181,Flujos!J72+1,FALSE)</f>
        <v>0.00949951</v>
      </c>
      <c r="D72" s="76">
        <f t="shared" si="9"/>
        <v>23.404405</v>
      </c>
      <c r="E72" s="37">
        <f t="shared" si="11"/>
        <v>0.949951</v>
      </c>
      <c r="F72" s="37">
        <f>ROUND(D71*ROUND(((1+'CALCULADORA TIS Pesos H-2'!$C$14)^(1/12)-1),6),6)</f>
        <v>0.143228</v>
      </c>
      <c r="G72" s="37">
        <f t="shared" si="12"/>
        <v>1.093179</v>
      </c>
      <c r="H72" s="38">
        <f>IF($B72=0,0,G72/POWER(1+'CALCULADORA TIS Pesos H-2'!$F$11,Flujos!$B72/365))</f>
        <v>1.057405339124377</v>
      </c>
      <c r="I72" s="39">
        <f t="shared" si="10"/>
        <v>45369</v>
      </c>
      <c r="J72" s="40">
        <v>70</v>
      </c>
      <c r="K72" s="41">
        <f t="shared" si="13"/>
        <v>2129</v>
      </c>
      <c r="L72" s="42">
        <f t="shared" si="14"/>
        <v>858420725.3889062</v>
      </c>
      <c r="M72" s="43">
        <f t="shared" si="15"/>
        <v>34842057.57437182</v>
      </c>
      <c r="N72" s="43">
        <f t="shared" si="16"/>
        <v>5253278.426607038</v>
      </c>
      <c r="O72" s="44">
        <f t="shared" si="17"/>
        <v>40095336.00097886</v>
      </c>
    </row>
    <row r="73" spans="1:15" ht="12.75">
      <c r="A73" s="170">
        <v>45400</v>
      </c>
      <c r="B73" s="35">
        <f>IF(DIAS365('CALCULADORA TIS Pesos H-2'!$E$6,A73)&lt;0,0,DIAS365('CALCULADORA TIS Pesos H-2'!$E$6,A73))</f>
        <v>151</v>
      </c>
      <c r="C73" s="36">
        <f>+HLOOKUP('CALCULADORA TIS Pesos H-2'!$E$4,Tablas!$B$1:$B$181,Flujos!J73+1,FALSE)</f>
        <v>0.00934313</v>
      </c>
      <c r="D73" s="76">
        <f t="shared" si="9"/>
        <v>22.470092</v>
      </c>
      <c r="E73" s="37">
        <f t="shared" si="11"/>
        <v>0.934313</v>
      </c>
      <c r="F73" s="37">
        <f>ROUND(D72*ROUND(((1+'CALCULADORA TIS Pesos H-2'!$C$14)^(1/12)-1),6),6)</f>
        <v>0.137641</v>
      </c>
      <c r="G73" s="37">
        <f t="shared" si="12"/>
        <v>1.0719539999999999</v>
      </c>
      <c r="H73" s="38">
        <f>IF($B73=0,0,G73/POWER(1+'CALCULADORA TIS Pesos H-2'!$F$11,Flujos!$B73/365))</f>
        <v>1.028000930251344</v>
      </c>
      <c r="I73" s="39">
        <f t="shared" si="10"/>
        <v>45400</v>
      </c>
      <c r="J73" s="40">
        <v>71</v>
      </c>
      <c r="K73" s="41">
        <f t="shared" si="13"/>
        <v>2160</v>
      </c>
      <c r="L73" s="42">
        <f t="shared" si="14"/>
        <v>824152234.3420163</v>
      </c>
      <c r="M73" s="43">
        <f t="shared" si="15"/>
        <v>34268491.04688986</v>
      </c>
      <c r="N73" s="43">
        <f t="shared" si="16"/>
        <v>5048372.286012158</v>
      </c>
      <c r="O73" s="44">
        <f t="shared" si="17"/>
        <v>39316863.332902014</v>
      </c>
    </row>
    <row r="74" spans="1:15" ht="12.75">
      <c r="A74" s="170">
        <v>45430</v>
      </c>
      <c r="B74" s="35">
        <f>IF(DIAS365('CALCULADORA TIS Pesos H-2'!$E$6,A74)&lt;0,0,DIAS365('CALCULADORA TIS Pesos H-2'!$E$6,A74))</f>
        <v>181</v>
      </c>
      <c r="C74" s="36">
        <f>+HLOOKUP('CALCULADORA TIS Pesos H-2'!$E$4,Tablas!$B$1:$B$181,Flujos!J74+1,FALSE)</f>
        <v>0.00854031</v>
      </c>
      <c r="D74" s="76">
        <f t="shared" si="9"/>
        <v>21.616061</v>
      </c>
      <c r="E74" s="37">
        <f t="shared" si="11"/>
        <v>0.854031</v>
      </c>
      <c r="F74" s="37">
        <f>ROUND(D73*ROUND(((1+'CALCULADORA TIS Pesos H-2'!$C$14)^(1/12)-1),6),6)</f>
        <v>0.132147</v>
      </c>
      <c r="G74" s="37">
        <f t="shared" si="12"/>
        <v>0.986178</v>
      </c>
      <c r="H74" s="38">
        <f>IF($B74=0,0,G74/POWER(1+'CALCULADORA TIS Pesos H-2'!$F$11,Flujos!$B74/365))</f>
        <v>0.9379079628635121</v>
      </c>
      <c r="I74" s="39">
        <f t="shared" si="10"/>
        <v>45430</v>
      </c>
      <c r="J74" s="40">
        <v>72</v>
      </c>
      <c r="K74" s="41">
        <f t="shared" si="13"/>
        <v>2190</v>
      </c>
      <c r="L74" s="42">
        <f t="shared" si="14"/>
        <v>792828305.7685443</v>
      </c>
      <c r="M74" s="43">
        <f t="shared" si="15"/>
        <v>31323928.57347205</v>
      </c>
      <c r="N74" s="43">
        <f t="shared" si="16"/>
        <v>4846839.290165398</v>
      </c>
      <c r="O74" s="44">
        <f t="shared" si="17"/>
        <v>36170767.86363745</v>
      </c>
    </row>
    <row r="75" spans="1:15" ht="12.75">
      <c r="A75" s="170">
        <v>45461</v>
      </c>
      <c r="B75" s="35">
        <f>IF(DIAS365('CALCULADORA TIS Pesos H-2'!$E$6,A75)&lt;0,0,DIAS365('CALCULADORA TIS Pesos H-2'!$E$6,A75))</f>
        <v>212</v>
      </c>
      <c r="C75" s="36">
        <f>+HLOOKUP('CALCULADORA TIS Pesos H-2'!$E$4,Tablas!$B$1:$B$181,Flujos!J75+1,FALSE)</f>
        <v>0.00917362</v>
      </c>
      <c r="D75" s="76">
        <f t="shared" si="9"/>
        <v>20.698699</v>
      </c>
      <c r="E75" s="37">
        <f t="shared" si="11"/>
        <v>0.917362</v>
      </c>
      <c r="F75" s="37">
        <f>ROUND(D74*ROUND(((1+'CALCULADORA TIS Pesos H-2'!$C$14)^(1/12)-1),6),6)</f>
        <v>0.127124</v>
      </c>
      <c r="G75" s="37">
        <f t="shared" si="12"/>
        <v>1.044486</v>
      </c>
      <c r="H75" s="38">
        <f>IF($B75=0,0,G75/POWER(1+'CALCULADORA TIS Pesos H-2'!$F$11,Flujos!$B75/365))</f>
        <v>0.9848604017744323</v>
      </c>
      <c r="I75" s="39">
        <f t="shared" si="10"/>
        <v>45461</v>
      </c>
      <c r="J75" s="40">
        <v>73</v>
      </c>
      <c r="K75" s="41">
        <f t="shared" si="13"/>
        <v>2221</v>
      </c>
      <c r="L75" s="42">
        <f t="shared" si="14"/>
        <v>759181539.1242217</v>
      </c>
      <c r="M75" s="43">
        <f t="shared" si="15"/>
        <v>33646766.64432259</v>
      </c>
      <c r="N75" s="43">
        <f t="shared" si="16"/>
        <v>4662623.266224809</v>
      </c>
      <c r="O75" s="44">
        <f t="shared" si="17"/>
        <v>38309389.9105474</v>
      </c>
    </row>
    <row r="76" spans="1:15" ht="12.75">
      <c r="A76" s="170">
        <v>45491</v>
      </c>
      <c r="B76" s="35">
        <f>IF(DIAS365('CALCULADORA TIS Pesos H-2'!$E$6,A76)&lt;0,0,DIAS365('CALCULADORA TIS Pesos H-2'!$E$6,A76))</f>
        <v>242</v>
      </c>
      <c r="C76" s="36">
        <f>+HLOOKUP('CALCULADORA TIS Pesos H-2'!$E$4,Tablas!$B$1:$B$181,Flujos!J76+1,FALSE)</f>
        <v>0.00908973</v>
      </c>
      <c r="D76" s="76">
        <f t="shared" si="9"/>
        <v>19.789726</v>
      </c>
      <c r="E76" s="37">
        <f t="shared" si="11"/>
        <v>0.908973</v>
      </c>
      <c r="F76" s="37">
        <f>ROUND(D75*ROUND(((1+'CALCULADORA TIS Pesos H-2'!$C$14)^(1/12)-1),6),6)</f>
        <v>0.121729</v>
      </c>
      <c r="G76" s="37">
        <f t="shared" si="12"/>
        <v>1.030702</v>
      </c>
      <c r="H76" s="38">
        <f>IF($B76=0,0,G76/POWER(1+'CALCULADORA TIS Pesos H-2'!$F$11,Flujos!$B76/365))</f>
        <v>0.9638128814262203</v>
      </c>
      <c r="I76" s="39">
        <f t="shared" si="10"/>
        <v>45491</v>
      </c>
      <c r="J76" s="40">
        <v>74</v>
      </c>
      <c r="K76" s="41">
        <f t="shared" si="13"/>
        <v>2251</v>
      </c>
      <c r="L76" s="42">
        <f t="shared" si="14"/>
        <v>725842462.0565103</v>
      </c>
      <c r="M76" s="43">
        <f t="shared" si="15"/>
        <v>33339077.067711372</v>
      </c>
      <c r="N76" s="43">
        <f t="shared" si="16"/>
        <v>4464746.631589548</v>
      </c>
      <c r="O76" s="44">
        <f t="shared" si="17"/>
        <v>37803823.69930092</v>
      </c>
    </row>
    <row r="77" spans="1:15" ht="12.75">
      <c r="A77" s="170">
        <v>45522</v>
      </c>
      <c r="B77" s="35">
        <f>IF(DIAS365('CALCULADORA TIS Pesos H-2'!$E$6,A77)&lt;0,0,DIAS365('CALCULADORA TIS Pesos H-2'!$E$6,A77))</f>
        <v>273</v>
      </c>
      <c r="C77" s="36">
        <f>+HLOOKUP('CALCULADORA TIS Pesos H-2'!$E$4,Tablas!$B$1:$B$181,Flujos!J77+1,FALSE)</f>
        <v>0.00901642</v>
      </c>
      <c r="D77" s="76">
        <f t="shared" si="9"/>
        <v>18.888084</v>
      </c>
      <c r="E77" s="37">
        <f t="shared" si="11"/>
        <v>0.901642</v>
      </c>
      <c r="F77" s="37">
        <f>ROUND(D76*ROUND(((1+'CALCULADORA TIS Pesos H-2'!$C$14)^(1/12)-1),6),6)</f>
        <v>0.116383</v>
      </c>
      <c r="G77" s="37">
        <f t="shared" si="12"/>
        <v>1.018025</v>
      </c>
      <c r="H77" s="38">
        <f>IF($B77=0,0,G77/POWER(1+'CALCULADORA TIS Pesos H-2'!$F$11,Flujos!$B77/365))</f>
        <v>0.9438113390334839</v>
      </c>
      <c r="I77" s="39">
        <f t="shared" si="10"/>
        <v>45522</v>
      </c>
      <c r="J77" s="40">
        <v>75</v>
      </c>
      <c r="K77" s="41">
        <f t="shared" si="13"/>
        <v>2282</v>
      </c>
      <c r="L77" s="42">
        <f t="shared" si="14"/>
        <v>692772269.5145037</v>
      </c>
      <c r="M77" s="43">
        <f t="shared" si="15"/>
        <v>33070192.542006657</v>
      </c>
      <c r="N77" s="43">
        <f t="shared" si="16"/>
        <v>4268679.519354337</v>
      </c>
      <c r="O77" s="44">
        <f t="shared" si="17"/>
        <v>37338872.06136099</v>
      </c>
    </row>
    <row r="78" spans="1:15" ht="12.75">
      <c r="A78" s="170">
        <v>45553</v>
      </c>
      <c r="B78" s="35">
        <f>IF(DIAS365('CALCULADORA TIS Pesos H-2'!$E$6,A78)&lt;0,0,DIAS365('CALCULADORA TIS Pesos H-2'!$E$6,A78))</f>
        <v>304</v>
      </c>
      <c r="C78" s="36">
        <f>+HLOOKUP('CALCULADORA TIS Pesos H-2'!$E$4,Tablas!$B$1:$B$181,Flujos!J78+1,FALSE)</f>
        <v>0.00884438</v>
      </c>
      <c r="D78" s="76">
        <f t="shared" si="9"/>
        <v>18.003646</v>
      </c>
      <c r="E78" s="37">
        <f t="shared" si="11"/>
        <v>0.884438</v>
      </c>
      <c r="F78" s="37">
        <f>ROUND(D77*ROUND(((1+'CALCULADORA TIS Pesos H-2'!$C$14)^(1/12)-1),6),6)</f>
        <v>0.111081</v>
      </c>
      <c r="G78" s="37">
        <f t="shared" si="12"/>
        <v>0.9955189999999999</v>
      </c>
      <c r="H78" s="38">
        <f>IF($B78=0,0,G78/POWER(1+'CALCULADORA TIS Pesos H-2'!$F$11,Flujos!$B78/365))</f>
        <v>0.9150470819994365</v>
      </c>
      <c r="I78" s="39">
        <f t="shared" si="10"/>
        <v>45553</v>
      </c>
      <c r="J78" s="40">
        <v>76</v>
      </c>
      <c r="K78" s="41">
        <f t="shared" si="13"/>
        <v>2313</v>
      </c>
      <c r="L78" s="42">
        <f t="shared" si="14"/>
        <v>660333080.8437594</v>
      </c>
      <c r="M78" s="43">
        <f t="shared" si="15"/>
        <v>32439188.670744356</v>
      </c>
      <c r="N78" s="43">
        <f t="shared" si="16"/>
        <v>4074193.717014796</v>
      </c>
      <c r="O78" s="44">
        <f t="shared" si="17"/>
        <v>36513382.38775915</v>
      </c>
    </row>
    <row r="79" spans="1:15" ht="12.75">
      <c r="A79" s="170">
        <v>45583</v>
      </c>
      <c r="B79" s="35">
        <f>IF(DIAS365('CALCULADORA TIS Pesos H-2'!$E$6,A79)&lt;0,0,DIAS365('CALCULADORA TIS Pesos H-2'!$E$6,A79))</f>
        <v>334</v>
      </c>
      <c r="C79" s="36">
        <f>+HLOOKUP('CALCULADORA TIS Pesos H-2'!$E$4,Tablas!$B$1:$B$181,Flujos!J79+1,FALSE)</f>
        <v>0.00875393</v>
      </c>
      <c r="D79" s="76">
        <f t="shared" si="9"/>
        <v>17.128253</v>
      </c>
      <c r="E79" s="37">
        <f t="shared" si="11"/>
        <v>0.875393</v>
      </c>
      <c r="F79" s="37">
        <f>ROUND(D78*ROUND(((1+'CALCULADORA TIS Pesos H-2'!$C$14)^(1/12)-1),6),6)</f>
        <v>0.105879</v>
      </c>
      <c r="G79" s="37">
        <f t="shared" si="12"/>
        <v>0.9812719999999999</v>
      </c>
      <c r="H79" s="38">
        <f>IF($B79=0,0,G79/POWER(1+'CALCULADORA TIS Pesos H-2'!$F$11,Flujos!$B79/365))</f>
        <v>0.8944804410565521</v>
      </c>
      <c r="I79" s="39">
        <f t="shared" si="10"/>
        <v>45583</v>
      </c>
      <c r="J79" s="40">
        <v>77</v>
      </c>
      <c r="K79" s="41">
        <f t="shared" si="13"/>
        <v>2343</v>
      </c>
      <c r="L79" s="42">
        <f t="shared" si="14"/>
        <v>628225642.348298</v>
      </c>
      <c r="M79" s="43">
        <f t="shared" si="15"/>
        <v>32107438.495461427</v>
      </c>
      <c r="N79" s="43">
        <f t="shared" si="16"/>
        <v>3883418.848442149</v>
      </c>
      <c r="O79" s="44">
        <f t="shared" si="17"/>
        <v>35990857.34390358</v>
      </c>
    </row>
    <row r="80" spans="1:15" ht="12.75">
      <c r="A80" s="170">
        <v>45614</v>
      </c>
      <c r="B80" s="35">
        <f>IF(DIAS365('CALCULADORA TIS Pesos H-2'!$E$6,A80)&lt;0,0,DIAS365('CALCULADORA TIS Pesos H-2'!$E$6,A80))</f>
        <v>365</v>
      </c>
      <c r="C80" s="36">
        <f>+HLOOKUP('CALCULADORA TIS Pesos H-2'!$E$4,Tablas!$B$1:$B$181,Flujos!J80+1,FALSE)</f>
        <v>0.00861928</v>
      </c>
      <c r="D80" s="76">
        <f t="shared" si="9"/>
        <v>16.266325</v>
      </c>
      <c r="E80" s="37">
        <f t="shared" si="11"/>
        <v>0.861928</v>
      </c>
      <c r="F80" s="37">
        <f>ROUND(D79*ROUND(((1+'CALCULADORA TIS Pesos H-2'!$C$14)^(1/12)-1),6),6)</f>
        <v>0.100731</v>
      </c>
      <c r="G80" s="37">
        <f t="shared" si="12"/>
        <v>0.962659</v>
      </c>
      <c r="H80" s="38">
        <f>IF($B80=0,0,G80/POWER(1+'CALCULADORA TIS Pesos H-2'!$F$11,Flujos!$B80/365))</f>
        <v>0.8700036150022594</v>
      </c>
      <c r="I80" s="39">
        <f t="shared" si="10"/>
        <v>45614</v>
      </c>
      <c r="J80" s="40">
        <v>78</v>
      </c>
      <c r="K80" s="41">
        <f t="shared" si="13"/>
        <v>2374</v>
      </c>
      <c r="L80" s="42">
        <f t="shared" si="14"/>
        <v>596612069.6472185</v>
      </c>
      <c r="M80" s="43">
        <f t="shared" si="15"/>
        <v>31613572.701079488</v>
      </c>
      <c r="N80" s="43">
        <f t="shared" si="16"/>
        <v>3694595.00265034</v>
      </c>
      <c r="O80" s="44">
        <f t="shared" si="17"/>
        <v>35308167.70372983</v>
      </c>
    </row>
    <row r="81" spans="1:15" ht="12.75">
      <c r="A81" s="170">
        <v>45644</v>
      </c>
      <c r="B81" s="35">
        <f>IF(DIAS365('CALCULADORA TIS Pesos H-2'!$E$6,A81)&lt;0,0,DIAS365('CALCULADORA TIS Pesos H-2'!$E$6,A81))</f>
        <v>395</v>
      </c>
      <c r="C81" s="36">
        <f>+HLOOKUP('CALCULADORA TIS Pesos H-2'!$E$4,Tablas!$B$1:$B$181,Flujos!J81+1,FALSE)</f>
        <v>0.00856068</v>
      </c>
      <c r="D81" s="76">
        <f t="shared" si="9"/>
        <v>15.410257</v>
      </c>
      <c r="E81" s="37">
        <f t="shared" si="11"/>
        <v>0.856068</v>
      </c>
      <c r="F81" s="37">
        <f>ROUND(D80*ROUND(((1+'CALCULADORA TIS Pesos H-2'!$C$14)^(1/12)-1),6),6)</f>
        <v>0.095662</v>
      </c>
      <c r="G81" s="37">
        <f t="shared" si="12"/>
        <v>0.9517300000000001</v>
      </c>
      <c r="H81" s="38">
        <f>IF($B81=0,0,G81/POWER(1+'CALCULADORA TIS Pesos H-2'!$F$11,Flujos!$B81/365))</f>
        <v>0.8530016977599035</v>
      </c>
      <c r="I81" s="39">
        <f t="shared" si="10"/>
        <v>45644</v>
      </c>
      <c r="J81" s="40">
        <v>79</v>
      </c>
      <c r="K81" s="41">
        <f t="shared" si="13"/>
        <v>2404</v>
      </c>
      <c r="L81" s="42">
        <f t="shared" si="14"/>
        <v>565213428.5135417</v>
      </c>
      <c r="M81" s="43">
        <f t="shared" si="15"/>
        <v>31398641.133676726</v>
      </c>
      <c r="N81" s="43">
        <f t="shared" si="16"/>
        <v>3508675.581595292</v>
      </c>
      <c r="O81" s="44">
        <f t="shared" si="17"/>
        <v>34907316.71527202</v>
      </c>
    </row>
    <row r="82" spans="1:15" ht="12.75">
      <c r="A82" s="170">
        <v>45675</v>
      </c>
      <c r="B82" s="35">
        <f>IF(DIAS365('CALCULADORA TIS Pesos H-2'!$E$6,A82)&lt;0,0,DIAS365('CALCULADORA TIS Pesos H-2'!$E$6,A82))</f>
        <v>426</v>
      </c>
      <c r="C82" s="36">
        <f>+HLOOKUP('CALCULADORA TIS Pesos H-2'!$E$4,Tablas!$B$1:$B$181,Flujos!J82+1,FALSE)</f>
        <v>0.00854273</v>
      </c>
      <c r="D82" s="76">
        <f t="shared" si="9"/>
        <v>14.555984</v>
      </c>
      <c r="E82" s="37">
        <f t="shared" si="11"/>
        <v>0.854273</v>
      </c>
      <c r="F82" s="37">
        <f>ROUND(D81*ROUND(((1+'CALCULADORA TIS Pesos H-2'!$C$14)^(1/12)-1),6),6)</f>
        <v>0.090628</v>
      </c>
      <c r="G82" s="37">
        <f t="shared" si="12"/>
        <v>0.944901</v>
      </c>
      <c r="H82" s="38">
        <f>IF($B82=0,0,G82/POWER(1+'CALCULADORA TIS Pesos H-2'!$F$11,Flujos!$B82/365))</f>
        <v>0.8396331654061822</v>
      </c>
      <c r="I82" s="39">
        <f t="shared" si="10"/>
        <v>45675</v>
      </c>
      <c r="J82" s="40">
        <v>80</v>
      </c>
      <c r="K82" s="41">
        <f t="shared" si="13"/>
        <v>2435</v>
      </c>
      <c r="L82" s="42">
        <f t="shared" si="14"/>
        <v>533880623.92653525</v>
      </c>
      <c r="M82" s="43">
        <f t="shared" si="15"/>
        <v>31332804.58700643</v>
      </c>
      <c r="N82" s="43">
        <f t="shared" si="16"/>
        <v>3324020.173088139</v>
      </c>
      <c r="O82" s="44">
        <f t="shared" si="17"/>
        <v>34656824.76009457</v>
      </c>
    </row>
    <row r="83" spans="1:15" ht="12.75">
      <c r="A83" s="170">
        <v>45706</v>
      </c>
      <c r="B83" s="35">
        <f>IF(DIAS365('CALCULADORA TIS Pesos H-2'!$E$6,A83)&lt;0,0,DIAS365('CALCULADORA TIS Pesos H-2'!$E$6,A83))</f>
        <v>457</v>
      </c>
      <c r="C83" s="36">
        <f>+HLOOKUP('CALCULADORA TIS Pesos H-2'!$E$4,Tablas!$B$1:$B$181,Flujos!J83+1,FALSE)</f>
        <v>0.00840952</v>
      </c>
      <c r="D83" s="76">
        <f t="shared" si="9"/>
        <v>13.715032</v>
      </c>
      <c r="E83" s="37">
        <f t="shared" si="11"/>
        <v>0.840952</v>
      </c>
      <c r="F83" s="37">
        <f>ROUND(D82*ROUND(((1+'CALCULADORA TIS Pesos H-2'!$C$14)^(1/12)-1),6),6)</f>
        <v>0.085604</v>
      </c>
      <c r="G83" s="37">
        <f t="shared" si="12"/>
        <v>0.926556</v>
      </c>
      <c r="H83" s="38">
        <f>IF($B83=0,0,G83/POWER(1+'CALCULADORA TIS Pesos H-2'!$F$11,Flujos!$B83/365))</f>
        <v>0.8162855126495517</v>
      </c>
      <c r="I83" s="39">
        <f t="shared" si="10"/>
        <v>45706</v>
      </c>
      <c r="J83" s="40">
        <v>81</v>
      </c>
      <c r="K83" s="41">
        <f t="shared" si="13"/>
        <v>2466</v>
      </c>
      <c r="L83" s="42">
        <f t="shared" si="14"/>
        <v>503036403.5390804</v>
      </c>
      <c r="M83" s="43">
        <f t="shared" si="15"/>
        <v>30844220.387454867</v>
      </c>
      <c r="N83" s="43">
        <f t="shared" si="16"/>
        <v>3139751.949311954</v>
      </c>
      <c r="O83" s="44">
        <f t="shared" si="17"/>
        <v>33983972.336766824</v>
      </c>
    </row>
    <row r="84" spans="1:15" ht="12.75">
      <c r="A84" s="170">
        <v>45734</v>
      </c>
      <c r="B84" s="35">
        <f>IF(DIAS365('CALCULADORA TIS Pesos H-2'!$E$6,A84)&lt;0,0,DIAS365('CALCULADORA TIS Pesos H-2'!$E$6,A84))</f>
        <v>485</v>
      </c>
      <c r="C84" s="36">
        <f>+HLOOKUP('CALCULADORA TIS Pesos H-2'!$E$4,Tablas!$B$1:$B$181,Flujos!J84+1,FALSE)</f>
        <v>0.00831609</v>
      </c>
      <c r="D84" s="76">
        <f t="shared" si="9"/>
        <v>12.883423</v>
      </c>
      <c r="E84" s="37">
        <f t="shared" si="11"/>
        <v>0.831609</v>
      </c>
      <c r="F84" s="37">
        <f>ROUND(D83*ROUND(((1+'CALCULADORA TIS Pesos H-2'!$C$14)^(1/12)-1),6),6)</f>
        <v>0.080658</v>
      </c>
      <c r="G84" s="37">
        <f t="shared" si="12"/>
        <v>0.912267</v>
      </c>
      <c r="H84" s="38">
        <f>IF($B84=0,0,G84/POWER(1+'CALCULADORA TIS Pesos H-2'!$F$11,Flujos!$B84/365))</f>
        <v>0.7974817726210763</v>
      </c>
      <c r="I84" s="39">
        <f t="shared" si="10"/>
        <v>45734</v>
      </c>
      <c r="J84" s="40">
        <v>82</v>
      </c>
      <c r="K84" s="41">
        <f t="shared" si="13"/>
        <v>2494</v>
      </c>
      <c r="L84" s="42">
        <f t="shared" si="14"/>
        <v>472534863.293988</v>
      </c>
      <c r="M84" s="43">
        <f t="shared" si="15"/>
        <v>30501540.24509241</v>
      </c>
      <c r="N84" s="43">
        <f t="shared" si="16"/>
        <v>2958357.0892133317</v>
      </c>
      <c r="O84" s="44">
        <f t="shared" si="17"/>
        <v>33459897.33430574</v>
      </c>
    </row>
    <row r="85" spans="1:15" ht="12.75">
      <c r="A85" s="170">
        <v>45765</v>
      </c>
      <c r="B85" s="35">
        <f>IF(DIAS365('CALCULADORA TIS Pesos H-2'!$E$6,A85)&lt;0,0,DIAS365('CALCULADORA TIS Pesos H-2'!$E$6,A85))</f>
        <v>516</v>
      </c>
      <c r="C85" s="36">
        <f>+HLOOKUP('CALCULADORA TIS Pesos H-2'!$E$4,Tablas!$B$1:$B$181,Flujos!J85+1,FALSE)</f>
        <v>0.00825101</v>
      </c>
      <c r="D85" s="76">
        <f t="shared" si="9"/>
        <v>12.058322</v>
      </c>
      <c r="E85" s="37">
        <f t="shared" si="11"/>
        <v>0.825101</v>
      </c>
      <c r="F85" s="37">
        <f>ROUND(D84*ROUND(((1+'CALCULADORA TIS Pesos H-2'!$C$14)^(1/12)-1),6),6)</f>
        <v>0.075767</v>
      </c>
      <c r="G85" s="37">
        <f t="shared" si="12"/>
        <v>0.900868</v>
      </c>
      <c r="H85" s="38">
        <f>IF($B85=0,0,G85/POWER(1+'CALCULADORA TIS Pesos H-2'!$F$11,Flujos!$B85/365))</f>
        <v>0.7807771604109666</v>
      </c>
      <c r="I85" s="39">
        <f t="shared" si="10"/>
        <v>45765</v>
      </c>
      <c r="J85" s="40">
        <v>83</v>
      </c>
      <c r="K85" s="41">
        <f t="shared" si="13"/>
        <v>2525</v>
      </c>
      <c r="L85" s="42">
        <f t="shared" si="14"/>
        <v>442272021.79303503</v>
      </c>
      <c r="M85" s="43">
        <f t="shared" si="15"/>
        <v>30262841.500952963</v>
      </c>
      <c r="N85" s="43">
        <f t="shared" si="16"/>
        <v>2778977.5310319434</v>
      </c>
      <c r="O85" s="44">
        <f t="shared" si="17"/>
        <v>33041819.031984907</v>
      </c>
    </row>
    <row r="86" spans="1:15" ht="12.75">
      <c r="A86" s="170">
        <v>45795</v>
      </c>
      <c r="B86" s="35">
        <f>IF(DIAS365('CALCULADORA TIS Pesos H-2'!$E$6,A86)&lt;0,0,DIAS365('CALCULADORA TIS Pesos H-2'!$E$6,A86))</f>
        <v>546</v>
      </c>
      <c r="C86" s="36">
        <f>+HLOOKUP('CALCULADORA TIS Pesos H-2'!$E$4,Tablas!$B$1:$B$181,Flujos!J86+1,FALSE)</f>
        <v>0.00735191</v>
      </c>
      <c r="D86" s="76">
        <f t="shared" si="9"/>
        <v>11.323131</v>
      </c>
      <c r="E86" s="37">
        <f t="shared" si="11"/>
        <v>0.735191</v>
      </c>
      <c r="F86" s="37">
        <f>ROUND(D85*ROUND(((1+'CALCULADORA TIS Pesos H-2'!$C$14)^(1/12)-1),6),6)</f>
        <v>0.070915</v>
      </c>
      <c r="G86" s="37">
        <f t="shared" si="12"/>
        <v>0.806106</v>
      </c>
      <c r="H86" s="38">
        <f>IF($B86=0,0,G86/POWER(1+'CALCULADORA TIS Pesos H-2'!$F$11,Flujos!$B86/365))</f>
        <v>0.6928602537972163</v>
      </c>
      <c r="I86" s="39">
        <f t="shared" si="10"/>
        <v>45795</v>
      </c>
      <c r="J86" s="40">
        <v>84</v>
      </c>
      <c r="K86" s="41">
        <f t="shared" si="13"/>
        <v>2555</v>
      </c>
      <c r="L86" s="42">
        <f t="shared" si="14"/>
        <v>415306876.06429744</v>
      </c>
      <c r="M86" s="43">
        <f t="shared" si="15"/>
        <v>26965145.728737585</v>
      </c>
      <c r="N86" s="43">
        <f t="shared" si="16"/>
        <v>2601001.760164839</v>
      </c>
      <c r="O86" s="44">
        <f t="shared" si="17"/>
        <v>29566147.488902424</v>
      </c>
    </row>
    <row r="87" spans="1:15" ht="12.75">
      <c r="A87" s="170">
        <v>45826</v>
      </c>
      <c r="B87" s="35">
        <f>IF(DIAS365('CALCULADORA TIS Pesos H-2'!$E$6,A87)&lt;0,0,DIAS365('CALCULADORA TIS Pesos H-2'!$E$6,A87))</f>
        <v>577</v>
      </c>
      <c r="C87" s="36">
        <f>+HLOOKUP('CALCULADORA TIS Pesos H-2'!$E$4,Tablas!$B$1:$B$181,Flujos!J87+1,FALSE)</f>
        <v>0.0080521</v>
      </c>
      <c r="D87" s="76">
        <f t="shared" si="9"/>
        <v>10.517921</v>
      </c>
      <c r="E87" s="37">
        <f t="shared" si="11"/>
        <v>0.80521</v>
      </c>
      <c r="F87" s="37">
        <f>ROUND(D86*ROUND(((1+'CALCULADORA TIS Pesos H-2'!$C$14)^(1/12)-1),6),6)</f>
        <v>0.066591</v>
      </c>
      <c r="G87" s="37">
        <f t="shared" si="12"/>
        <v>0.8718009999999999</v>
      </c>
      <c r="H87" s="38">
        <f>IF($B87=0,0,G87/POWER(1+'CALCULADORA TIS Pesos H-2'!$F$11,Flujos!$B87/365))</f>
        <v>0.7429130676263547</v>
      </c>
      <c r="I87" s="39">
        <f t="shared" si="10"/>
        <v>45826</v>
      </c>
      <c r="J87" s="40">
        <v>85</v>
      </c>
      <c r="K87" s="41">
        <f t="shared" si="13"/>
        <v>2586</v>
      </c>
      <c r="L87" s="42">
        <f t="shared" si="14"/>
        <v>385773591.5270319</v>
      </c>
      <c r="M87" s="43">
        <f t="shared" si="15"/>
        <v>29533284.53726554</v>
      </c>
      <c r="N87" s="43">
        <f t="shared" si="16"/>
        <v>2442419.738134133</v>
      </c>
      <c r="O87" s="44">
        <f t="shared" si="17"/>
        <v>31975704.275399674</v>
      </c>
    </row>
    <row r="88" spans="1:15" ht="12.75">
      <c r="A88" s="170">
        <v>45856</v>
      </c>
      <c r="B88" s="35">
        <f>IF(DIAS365('CALCULADORA TIS Pesos H-2'!$E$6,A88)&lt;0,0,DIAS365('CALCULADORA TIS Pesos H-2'!$E$6,A88))</f>
        <v>607</v>
      </c>
      <c r="C88" s="36">
        <f>+HLOOKUP('CALCULADORA TIS Pesos H-2'!$E$4,Tablas!$B$1:$B$181,Flujos!J88+1,FALSE)</f>
        <v>0.00799357</v>
      </c>
      <c r="D88" s="76">
        <f t="shared" si="9"/>
        <v>9.718564</v>
      </c>
      <c r="E88" s="37">
        <f t="shared" si="11"/>
        <v>0.799357</v>
      </c>
      <c r="F88" s="37">
        <f>ROUND(D87*ROUND(((1+'CALCULADORA TIS Pesos H-2'!$C$14)^(1/12)-1),6),6)</f>
        <v>0.061856</v>
      </c>
      <c r="G88" s="37">
        <f t="shared" si="12"/>
        <v>0.861213</v>
      </c>
      <c r="H88" s="38">
        <f>IF($B88=0,0,G88/POWER(1+'CALCULADORA TIS Pesos H-2'!$F$11,Flujos!$B88/365))</f>
        <v>0.7278112531855112</v>
      </c>
      <c r="I88" s="39">
        <f t="shared" si="10"/>
        <v>45856</v>
      </c>
      <c r="J88" s="40">
        <v>86</v>
      </c>
      <c r="K88" s="41">
        <f t="shared" si="13"/>
        <v>2616</v>
      </c>
      <c r="L88" s="42">
        <f t="shared" si="14"/>
        <v>356454981.812976</v>
      </c>
      <c r="M88" s="43">
        <f t="shared" si="15"/>
        <v>29318609.714055926</v>
      </c>
      <c r="N88" s="43">
        <f t="shared" si="16"/>
        <v>2268734.4917704747</v>
      </c>
      <c r="O88" s="44">
        <f t="shared" si="17"/>
        <v>31587344.2058264</v>
      </c>
    </row>
    <row r="89" spans="1:15" ht="12.75">
      <c r="A89" s="170">
        <v>45887</v>
      </c>
      <c r="B89" s="35">
        <f>IF(DIAS365('CALCULADORA TIS Pesos H-2'!$E$6,A89)&lt;0,0,DIAS365('CALCULADORA TIS Pesos H-2'!$E$6,A89))</f>
        <v>638</v>
      </c>
      <c r="C89" s="36">
        <f>+HLOOKUP('CALCULADORA TIS Pesos H-2'!$E$4,Tablas!$B$1:$B$181,Flujos!J89+1,FALSE)</f>
        <v>0.00788952</v>
      </c>
      <c r="D89" s="76">
        <f t="shared" si="9"/>
        <v>8.929612</v>
      </c>
      <c r="E89" s="37">
        <f t="shared" si="11"/>
        <v>0.788952</v>
      </c>
      <c r="F89" s="37">
        <f>ROUND(D88*ROUND(((1+'CALCULADORA TIS Pesos H-2'!$C$14)^(1/12)-1),6),6)</f>
        <v>0.057155</v>
      </c>
      <c r="G89" s="37">
        <f t="shared" si="12"/>
        <v>0.8461069999999999</v>
      </c>
      <c r="H89" s="38">
        <f>IF($B89=0,0,G89/POWER(1+'CALCULADORA TIS Pesos H-2'!$F$11,Flujos!$B89/365))</f>
        <v>0.7089255311160071</v>
      </c>
      <c r="I89" s="39">
        <f t="shared" si="10"/>
        <v>45887</v>
      </c>
      <c r="J89" s="40">
        <v>87</v>
      </c>
      <c r="K89" s="41">
        <f t="shared" si="13"/>
        <v>2647</v>
      </c>
      <c r="L89" s="42">
        <f t="shared" si="14"/>
        <v>327518004.00315654</v>
      </c>
      <c r="M89" s="43">
        <f t="shared" si="15"/>
        <v>28936977.809819456</v>
      </c>
      <c r="N89" s="43">
        <f t="shared" si="16"/>
        <v>2096311.7480421118</v>
      </c>
      <c r="O89" s="44">
        <f t="shared" si="17"/>
        <v>31033289.557861567</v>
      </c>
    </row>
    <row r="90" spans="1:15" ht="12.75">
      <c r="A90" s="170">
        <v>45918</v>
      </c>
      <c r="B90" s="35">
        <f>IF(DIAS365('CALCULADORA TIS Pesos H-2'!$E$6,A90)&lt;0,0,DIAS365('CALCULADORA TIS Pesos H-2'!$E$6,A90))</f>
        <v>669</v>
      </c>
      <c r="C90" s="36">
        <f>+HLOOKUP('CALCULADORA TIS Pesos H-2'!$E$4,Tablas!$B$1:$B$181,Flujos!J90+1,FALSE)</f>
        <v>0.00779688</v>
      </c>
      <c r="D90" s="76">
        <f t="shared" si="9"/>
        <v>8.149924</v>
      </c>
      <c r="E90" s="37">
        <f t="shared" si="11"/>
        <v>0.779688</v>
      </c>
      <c r="F90" s="37">
        <f>ROUND(D89*ROUND(((1+'CALCULADORA TIS Pesos H-2'!$C$14)^(1/12)-1),6),6)</f>
        <v>0.052515</v>
      </c>
      <c r="G90" s="37">
        <f t="shared" si="12"/>
        <v>0.832203</v>
      </c>
      <c r="H90" s="38">
        <f>IF($B90=0,0,G90/POWER(1+'CALCULADORA TIS Pesos H-2'!$F$11,Flujos!$B90/365))</f>
        <v>0.6913082600232202</v>
      </c>
      <c r="I90" s="39">
        <f t="shared" si="10"/>
        <v>45918</v>
      </c>
      <c r="J90" s="40">
        <v>88</v>
      </c>
      <c r="K90" s="41">
        <f t="shared" si="13"/>
        <v>2678</v>
      </c>
      <c r="L90" s="42">
        <f t="shared" si="14"/>
        <v>298920808.7940912</v>
      </c>
      <c r="M90" s="43">
        <f t="shared" si="15"/>
        <v>28597195.209065333</v>
      </c>
      <c r="N90" s="43">
        <f t="shared" si="16"/>
        <v>1926133.3815425637</v>
      </c>
      <c r="O90" s="44">
        <f t="shared" si="17"/>
        <v>30523328.590607896</v>
      </c>
    </row>
    <row r="91" spans="1:15" ht="12.75">
      <c r="A91" s="170">
        <v>45948</v>
      </c>
      <c r="B91" s="35">
        <f>IF(DIAS365('CALCULADORA TIS Pesos H-2'!$E$6,A91)&lt;0,0,DIAS365('CALCULADORA TIS Pesos H-2'!$E$6,A91))</f>
        <v>699</v>
      </c>
      <c r="C91" s="36">
        <f>+HLOOKUP('CALCULADORA TIS Pesos H-2'!$E$4,Tablas!$B$1:$B$181,Flujos!J91+1,FALSE)</f>
        <v>0.00772333</v>
      </c>
      <c r="D91" s="76">
        <f t="shared" si="9"/>
        <v>7.377591</v>
      </c>
      <c r="E91" s="37">
        <f t="shared" si="11"/>
        <v>0.772333</v>
      </c>
      <c r="F91" s="37">
        <f>ROUND(D90*ROUND(((1+'CALCULADORA TIS Pesos H-2'!$C$14)^(1/12)-1),6),6)</f>
        <v>0.04793</v>
      </c>
      <c r="G91" s="37">
        <f t="shared" si="12"/>
        <v>0.8202630000000001</v>
      </c>
      <c r="H91" s="38">
        <f>IF($B91=0,0,G91/POWER(1+'CALCULADORA TIS Pesos H-2'!$F$11,Flujos!$B91/365))</f>
        <v>0.6757454742304255</v>
      </c>
      <c r="I91" s="39">
        <f t="shared" si="10"/>
        <v>45948</v>
      </c>
      <c r="J91" s="40">
        <v>89</v>
      </c>
      <c r="K91" s="41">
        <f t="shared" si="13"/>
        <v>2708</v>
      </c>
      <c r="L91" s="42">
        <f t="shared" si="14"/>
        <v>270593378.37653565</v>
      </c>
      <c r="M91" s="43">
        <f t="shared" si="15"/>
        <v>28327430.417555552</v>
      </c>
      <c r="N91" s="43">
        <f t="shared" si="16"/>
        <v>1757953.2765180506</v>
      </c>
      <c r="O91" s="44">
        <f t="shared" si="17"/>
        <v>30085383.694073603</v>
      </c>
    </row>
    <row r="92" spans="1:15" ht="12.75">
      <c r="A92" s="170">
        <v>45979</v>
      </c>
      <c r="B92" s="35">
        <f>IF(DIAS365('CALCULADORA TIS Pesos H-2'!$E$6,A92)&lt;0,0,DIAS365('CALCULADORA TIS Pesos H-2'!$E$6,A92))</f>
        <v>730</v>
      </c>
      <c r="C92" s="36">
        <f>+HLOOKUP('CALCULADORA TIS Pesos H-2'!$E$4,Tablas!$B$1:$B$181,Flujos!J92+1,FALSE)</f>
        <v>0.00763656</v>
      </c>
      <c r="D92" s="76">
        <f t="shared" si="9"/>
        <v>6.613935</v>
      </c>
      <c r="E92" s="37">
        <f t="shared" si="11"/>
        <v>0.763656</v>
      </c>
      <c r="F92" s="37">
        <f>ROUND(D91*ROUND(((1+'CALCULADORA TIS Pesos H-2'!$C$14)^(1/12)-1),6),6)</f>
        <v>0.043388</v>
      </c>
      <c r="G92" s="37">
        <f t="shared" si="12"/>
        <v>0.807044</v>
      </c>
      <c r="H92" s="38">
        <f>IF($B92=0,0,G92/POWER(1+'CALCULADORA TIS Pesos H-2'!$F$11,Flujos!$B92/365))</f>
        <v>0.6591653600126924</v>
      </c>
      <c r="I92" s="39">
        <f t="shared" si="10"/>
        <v>45979</v>
      </c>
      <c r="J92" s="40">
        <v>90</v>
      </c>
      <c r="K92" s="41">
        <f t="shared" si="13"/>
        <v>2739</v>
      </c>
      <c r="L92" s="42">
        <f t="shared" si="14"/>
        <v>242584200.72525206</v>
      </c>
      <c r="M92" s="43">
        <f t="shared" si="15"/>
        <v>28009177.651283585</v>
      </c>
      <c r="N92" s="43">
        <f t="shared" si="16"/>
        <v>1591359.6582324062</v>
      </c>
      <c r="O92" s="44">
        <f t="shared" si="17"/>
        <v>29600537.30951599</v>
      </c>
    </row>
    <row r="93" spans="1:15" ht="12.75">
      <c r="A93" s="170">
        <v>46009</v>
      </c>
      <c r="B93" s="35">
        <f>IF(DIAS365('CALCULADORA TIS Pesos H-2'!$E$6,A93)&lt;0,0,DIAS365('CALCULADORA TIS Pesos H-2'!$E$6,A93))</f>
        <v>760</v>
      </c>
      <c r="C93" s="36">
        <f>+HLOOKUP('CALCULADORA TIS Pesos H-2'!$E$4,Tablas!$B$1:$B$181,Flujos!J93+1,FALSE)</f>
        <v>0.00756751</v>
      </c>
      <c r="D93" s="76">
        <f t="shared" si="9"/>
        <v>5.857184</v>
      </c>
      <c r="E93" s="37">
        <f t="shared" si="11"/>
        <v>0.756751</v>
      </c>
      <c r="F93" s="37">
        <f>ROUND(D92*ROUND(((1+'CALCULADORA TIS Pesos H-2'!$C$14)^(1/12)-1),6),6)</f>
        <v>0.038897</v>
      </c>
      <c r="G93" s="37">
        <f t="shared" si="12"/>
        <v>0.7956479999999999</v>
      </c>
      <c r="H93" s="38">
        <f>IF($B93=0,0,G93/POWER(1+'CALCULADORA TIS Pesos H-2'!$F$11,Flujos!$B93/365))</f>
        <v>0.6444744337117141</v>
      </c>
      <c r="I93" s="39">
        <f t="shared" si="10"/>
        <v>46009</v>
      </c>
      <c r="J93" s="40">
        <v>91</v>
      </c>
      <c r="K93" s="41">
        <f t="shared" si="13"/>
        <v>2769</v>
      </c>
      <c r="L93" s="42">
        <f t="shared" si="14"/>
        <v>214828282.88163334</v>
      </c>
      <c r="M93" s="43">
        <f t="shared" si="15"/>
        <v>27755917.84361873</v>
      </c>
      <c r="N93" s="43">
        <f t="shared" si="16"/>
        <v>1426637.6844652074</v>
      </c>
      <c r="O93" s="44">
        <f t="shared" si="17"/>
        <v>29182555.528083935</v>
      </c>
    </row>
    <row r="94" spans="1:15" ht="12.75">
      <c r="A94" s="170">
        <v>46040</v>
      </c>
      <c r="B94" s="35">
        <f>IF(DIAS365('CALCULADORA TIS Pesos H-2'!$E$6,A94)&lt;0,0,DIAS365('CALCULADORA TIS Pesos H-2'!$E$6,A94))</f>
        <v>791</v>
      </c>
      <c r="C94" s="36">
        <f>+HLOOKUP('CALCULADORA TIS Pesos H-2'!$E$4,Tablas!$B$1:$B$181,Flujos!J94+1,FALSE)</f>
        <v>0.00744734</v>
      </c>
      <c r="D94" s="76">
        <f t="shared" si="9"/>
        <v>5.11245</v>
      </c>
      <c r="E94" s="37">
        <f t="shared" si="11"/>
        <v>0.744734</v>
      </c>
      <c r="F94" s="37">
        <f>ROUND(D93*ROUND(((1+'CALCULADORA TIS Pesos H-2'!$C$14)^(1/12)-1),6),6)</f>
        <v>0.034446</v>
      </c>
      <c r="G94" s="37">
        <f t="shared" si="12"/>
        <v>0.77918</v>
      </c>
      <c r="H94" s="38">
        <f>IF($B94=0,0,G94/POWER(1+'CALCULADORA TIS Pesos H-2'!$F$11,Flujos!$B94/365))</f>
        <v>0.6257338573154667</v>
      </c>
      <c r="I94" s="39">
        <f t="shared" si="10"/>
        <v>46040</v>
      </c>
      <c r="J94" s="40">
        <v>92</v>
      </c>
      <c r="K94" s="41">
        <f t="shared" si="13"/>
        <v>2800</v>
      </c>
      <c r="L94" s="42">
        <f t="shared" si="14"/>
        <v>187513121.4621578</v>
      </c>
      <c r="M94" s="43">
        <f t="shared" si="15"/>
        <v>27315161.419475563</v>
      </c>
      <c r="N94" s="43">
        <f t="shared" si="16"/>
        <v>1263405.1316268856</v>
      </c>
      <c r="O94" s="44">
        <f t="shared" si="17"/>
        <v>28578566.55110245</v>
      </c>
    </row>
    <row r="95" spans="1:15" ht="12.75">
      <c r="A95" s="170">
        <v>46071</v>
      </c>
      <c r="B95" s="35">
        <f>IF(DIAS365('CALCULADORA TIS Pesos H-2'!$E$6,A95)&lt;0,0,DIAS365('CALCULADORA TIS Pesos H-2'!$E$6,A95))</f>
        <v>822</v>
      </c>
      <c r="C95" s="36">
        <f>+HLOOKUP('CALCULADORA TIS Pesos H-2'!$E$4,Tablas!$B$1:$B$181,Flujos!J95+1,FALSE)</f>
        <v>0.00739209</v>
      </c>
      <c r="D95" s="76">
        <f t="shared" si="9"/>
        <v>4.373241</v>
      </c>
      <c r="E95" s="37">
        <f t="shared" si="11"/>
        <v>0.739209</v>
      </c>
      <c r="F95" s="37">
        <f>ROUND(D94*ROUND(((1+'CALCULADORA TIS Pesos H-2'!$C$14)^(1/12)-1),6),6)</f>
        <v>0.030066</v>
      </c>
      <c r="G95" s="37">
        <f t="shared" si="12"/>
        <v>0.769275</v>
      </c>
      <c r="H95" s="38">
        <f>IF($B95=0,0,G95/POWER(1+'CALCULADORA TIS Pesos H-2'!$F$11,Flujos!$B95/365))</f>
        <v>0.6124922765633375</v>
      </c>
      <c r="I95" s="39">
        <f t="shared" si="10"/>
        <v>46071</v>
      </c>
      <c r="J95" s="40">
        <v>93</v>
      </c>
      <c r="K95" s="41">
        <f t="shared" si="13"/>
        <v>2831</v>
      </c>
      <c r="L95" s="42">
        <f t="shared" si="14"/>
        <v>160400604.56655598</v>
      </c>
      <c r="M95" s="43">
        <f t="shared" si="15"/>
        <v>27112516.895601798</v>
      </c>
      <c r="N95" s="43">
        <f t="shared" si="16"/>
        <v>1102764.66731895</v>
      </c>
      <c r="O95" s="44">
        <f t="shared" si="17"/>
        <v>28215281.56292075</v>
      </c>
    </row>
    <row r="96" spans="1:15" ht="12.75">
      <c r="A96" s="170">
        <v>46099</v>
      </c>
      <c r="B96" s="35">
        <f>IF(DIAS365('CALCULADORA TIS Pesos H-2'!$E$6,A96)&lt;0,0,DIAS365('CALCULADORA TIS Pesos H-2'!$E$6,A96))</f>
        <v>850</v>
      </c>
      <c r="C96" s="36">
        <f>+HLOOKUP('CALCULADORA TIS Pesos H-2'!$E$4,Tablas!$B$1:$B$181,Flujos!J96+1,FALSE)</f>
        <v>0.00727963</v>
      </c>
      <c r="D96" s="76">
        <f t="shared" si="9"/>
        <v>3.645278</v>
      </c>
      <c r="E96" s="37">
        <f t="shared" si="11"/>
        <v>0.727963</v>
      </c>
      <c r="F96" s="37">
        <f>ROUND(D95*ROUND(((1+'CALCULADORA TIS Pesos H-2'!$C$14)^(1/12)-1),6),6)</f>
        <v>0.025719</v>
      </c>
      <c r="G96" s="37">
        <f t="shared" si="12"/>
        <v>0.7536820000000001</v>
      </c>
      <c r="H96" s="38">
        <f>IF($B96=0,0,G96/POWER(1+'CALCULADORA TIS Pesos H-2'!$F$11,Flujos!$B96/365))</f>
        <v>0.5954365989678848</v>
      </c>
      <c r="I96" s="39">
        <f t="shared" si="10"/>
        <v>46099</v>
      </c>
      <c r="J96" s="40">
        <v>94</v>
      </c>
      <c r="K96" s="41">
        <f t="shared" si="13"/>
        <v>2859</v>
      </c>
      <c r="L96" s="42">
        <f t="shared" si="14"/>
        <v>133700565.55610971</v>
      </c>
      <c r="M96" s="43">
        <f t="shared" si="15"/>
        <v>26700039.01044626</v>
      </c>
      <c r="N96" s="43">
        <f t="shared" si="16"/>
        <v>943315.9554559157</v>
      </c>
      <c r="O96" s="44">
        <f t="shared" si="17"/>
        <v>27643354.965902176</v>
      </c>
    </row>
    <row r="97" spans="1:15" ht="12.75">
      <c r="A97" s="170">
        <v>46130</v>
      </c>
      <c r="B97" s="35">
        <f>IF(DIAS365('CALCULADORA TIS Pesos H-2'!$E$6,A97)&lt;0,0,DIAS365('CALCULADORA TIS Pesos H-2'!$E$6,A97))</f>
        <v>881</v>
      </c>
      <c r="C97" s="36">
        <f>+HLOOKUP('CALCULADORA TIS Pesos H-2'!$E$4,Tablas!$B$1:$B$181,Flujos!J97+1,FALSE)</f>
        <v>0.00719438</v>
      </c>
      <c r="D97" s="76">
        <f t="shared" si="9"/>
        <v>2.92584</v>
      </c>
      <c r="E97" s="37">
        <f t="shared" si="11"/>
        <v>0.719438</v>
      </c>
      <c r="F97" s="37">
        <f>ROUND(D96*ROUND(((1+'CALCULADORA TIS Pesos H-2'!$C$14)^(1/12)-1),6),6)</f>
        <v>0.021438</v>
      </c>
      <c r="G97" s="37">
        <f t="shared" si="12"/>
        <v>0.740876</v>
      </c>
      <c r="H97" s="38">
        <f>IF($B97=0,0,G97/POWER(1+'CALCULADORA TIS Pesos H-2'!$F$11,Flujos!$B97/365))</f>
        <v>0.580309991873696</v>
      </c>
      <c r="I97" s="39">
        <f t="shared" si="10"/>
        <v>46130</v>
      </c>
      <c r="J97" s="40">
        <v>95</v>
      </c>
      <c r="K97" s="41">
        <f t="shared" si="13"/>
        <v>2890</v>
      </c>
      <c r="L97" s="42">
        <f t="shared" si="14"/>
        <v>107313204.29517002</v>
      </c>
      <c r="M97" s="43">
        <f t="shared" si="15"/>
        <v>26387361.26093969</v>
      </c>
      <c r="N97" s="43">
        <f t="shared" si="16"/>
        <v>786293.0260354812</v>
      </c>
      <c r="O97" s="44">
        <f t="shared" si="17"/>
        <v>27173654.28697517</v>
      </c>
    </row>
    <row r="98" spans="1:15" ht="12.75">
      <c r="A98" s="170">
        <v>46160</v>
      </c>
      <c r="B98" s="35">
        <f>IF(DIAS365('CALCULADORA TIS Pesos H-2'!$E$6,A98)&lt;0,0,DIAS365('CALCULADORA TIS Pesos H-2'!$E$6,A98))</f>
        <v>911</v>
      </c>
      <c r="C98" s="36">
        <f>+HLOOKUP('CALCULADORA TIS Pesos H-2'!$E$4,Tablas!$B$1:$B$181,Flujos!J98+1,FALSE)</f>
        <v>0.00630329</v>
      </c>
      <c r="D98" s="76">
        <f t="shared" si="9"/>
        <v>2.295511</v>
      </c>
      <c r="E98" s="37">
        <f t="shared" si="11"/>
        <v>0.630329</v>
      </c>
      <c r="F98" s="37">
        <f>ROUND(D97*ROUND(((1+'CALCULADORA TIS Pesos H-2'!$C$14)^(1/12)-1),6),6)</f>
        <v>0.017207</v>
      </c>
      <c r="G98" s="37">
        <f t="shared" si="12"/>
        <v>0.647536</v>
      </c>
      <c r="H98" s="38">
        <f>IF($B98=0,0,G98/POWER(1+'CALCULADORA TIS Pesos H-2'!$F$11,Flujos!$B98/365))</f>
        <v>0.5029976948823713</v>
      </c>
      <c r="I98" s="39">
        <f t="shared" si="10"/>
        <v>46160</v>
      </c>
      <c r="J98" s="40">
        <v>96</v>
      </c>
      <c r="K98" s="41">
        <f t="shared" si="13"/>
        <v>2920</v>
      </c>
      <c r="L98" s="42">
        <f t="shared" si="14"/>
        <v>84194159.93520175</v>
      </c>
      <c r="M98" s="43">
        <f t="shared" si="15"/>
        <v>23119044.35996827</v>
      </c>
      <c r="N98" s="43">
        <f t="shared" si="16"/>
        <v>631108.9544598949</v>
      </c>
      <c r="O98" s="44">
        <f t="shared" si="17"/>
        <v>23750153.314428166</v>
      </c>
    </row>
    <row r="99" spans="1:15" ht="12.75">
      <c r="A99" s="170">
        <v>46191</v>
      </c>
      <c r="B99" s="35">
        <f>IF(DIAS365('CALCULADORA TIS Pesos H-2'!$E$6,A99)&lt;0,0,DIAS365('CALCULADORA TIS Pesos H-2'!$E$6,A99))</f>
        <v>942</v>
      </c>
      <c r="C99" s="36">
        <f>+HLOOKUP('CALCULADORA TIS Pesos H-2'!$E$4,Tablas!$B$1:$B$181,Flujos!J99+1,FALSE)</f>
        <v>0.00703811</v>
      </c>
      <c r="D99" s="76">
        <f t="shared" si="9"/>
        <v>1.5917</v>
      </c>
      <c r="E99" s="37">
        <f t="shared" si="11"/>
        <v>0.703811</v>
      </c>
      <c r="F99" s="37">
        <f>ROUND(D98*ROUND(((1+'CALCULADORA TIS Pesos H-2'!$C$14)^(1/12)-1),6),6)</f>
        <v>0.0135</v>
      </c>
      <c r="G99" s="37">
        <f t="shared" si="12"/>
        <v>0.7173109999999999</v>
      </c>
      <c r="H99" s="38">
        <f>IF($B99=0,0,G99/POWER(1+'CALCULADORA TIS Pesos H-2'!$F$11,Flujos!$B99/365))</f>
        <v>0.5524293030693043</v>
      </c>
      <c r="I99" s="39">
        <f t="shared" si="10"/>
        <v>46191</v>
      </c>
      <c r="J99" s="40">
        <v>97</v>
      </c>
      <c r="K99" s="41">
        <f t="shared" si="13"/>
        <v>2951</v>
      </c>
      <c r="L99" s="42">
        <f t="shared" si="14"/>
        <v>58379961.74658337</v>
      </c>
      <c r="M99" s="43">
        <f t="shared" si="15"/>
        <v>25814198.188618373</v>
      </c>
      <c r="N99" s="43">
        <f t="shared" si="16"/>
        <v>495145.85457892145</v>
      </c>
      <c r="O99" s="44">
        <f t="shared" si="17"/>
        <v>26309344.043197293</v>
      </c>
    </row>
    <row r="100" spans="1:15" ht="12.75">
      <c r="A100" s="170">
        <v>46221</v>
      </c>
      <c r="B100" s="35">
        <f>IF(DIAS365('CALCULADORA TIS Pesos H-2'!$E$6,A100)&lt;0,0,DIAS365('CALCULADORA TIS Pesos H-2'!$E$6,A100))</f>
        <v>972</v>
      </c>
      <c r="C100" s="36">
        <f>+HLOOKUP('CALCULADORA TIS Pesos H-2'!$E$4,Tablas!$B$1:$B$181,Flujos!J100+1,FALSE)</f>
        <v>0.00694677</v>
      </c>
      <c r="D100" s="76">
        <f t="shared" si="9"/>
        <v>0.897023</v>
      </c>
      <c r="E100" s="37">
        <f t="shared" si="11"/>
        <v>0.694677</v>
      </c>
      <c r="F100" s="37">
        <f>ROUND(D99*ROUND(((1+'CALCULADORA TIS Pesos H-2'!$C$14)^(1/12)-1),6),6)</f>
        <v>0.009361</v>
      </c>
      <c r="G100" s="37">
        <f t="shared" si="12"/>
        <v>0.7040379999999999</v>
      </c>
      <c r="H100" s="38">
        <f>IF($B100=0,0,G100/POWER(1+'CALCULADORA TIS Pesos H-2'!$F$11,Flujos!$B100/365))</f>
        <v>0.5377158914399337</v>
      </c>
      <c r="I100" s="39">
        <f t="shared" si="10"/>
        <v>46221</v>
      </c>
      <c r="J100" s="40">
        <v>98</v>
      </c>
      <c r="K100" s="41">
        <f t="shared" si="13"/>
        <v>2981</v>
      </c>
      <c r="L100" s="42">
        <f t="shared" si="14"/>
        <v>32900778.05227504</v>
      </c>
      <c r="M100" s="43">
        <f t="shared" si="15"/>
        <v>25479183.694308333</v>
      </c>
      <c r="N100" s="43">
        <f t="shared" si="16"/>
        <v>343332.5550316568</v>
      </c>
      <c r="O100" s="44">
        <f t="shared" si="17"/>
        <v>25822516.24933999</v>
      </c>
    </row>
    <row r="101" spans="1:15" ht="12.75">
      <c r="A101" s="170">
        <v>46252</v>
      </c>
      <c r="B101" s="35">
        <f>IF(DIAS365('CALCULADORA TIS Pesos H-2'!$E$6,A101)&lt;0,0,DIAS365('CALCULADORA TIS Pesos H-2'!$E$6,A101))</f>
        <v>1003</v>
      </c>
      <c r="C101" s="36">
        <f>+HLOOKUP('CALCULADORA TIS Pesos H-2'!$E$4,Tablas!$B$1:$B$181,Flujos!J101+1,FALSE)</f>
        <v>0.00681452</v>
      </c>
      <c r="D101" s="76">
        <f t="shared" si="9"/>
        <v>0.215571</v>
      </c>
      <c r="E101" s="37">
        <f t="shared" si="11"/>
        <v>0.681452</v>
      </c>
      <c r="F101" s="37">
        <f>ROUND(D100*ROUND(((1+'CALCULADORA TIS Pesos H-2'!$C$14)^(1/12)-1),6),6)</f>
        <v>0.005275</v>
      </c>
      <c r="G101" s="37">
        <f t="shared" si="12"/>
        <v>0.686727</v>
      </c>
      <c r="H101" s="38">
        <f>IF($B101=0,0,G101/POWER(1+'CALCULADORA TIS Pesos H-2'!$F$11,Flujos!$B101/365))</f>
        <v>0.520005615732764</v>
      </c>
      <c r="I101" s="39">
        <f t="shared" si="10"/>
        <v>46252</v>
      </c>
      <c r="J101" s="40">
        <v>99</v>
      </c>
      <c r="K101" s="41">
        <f t="shared" si="13"/>
        <v>3012</v>
      </c>
      <c r="L101" s="42">
        <f t="shared" si="14"/>
        <v>7906657.494298015</v>
      </c>
      <c r="M101" s="43">
        <f t="shared" si="15"/>
        <v>24994120.557977024</v>
      </c>
      <c r="N101" s="43">
        <f t="shared" si="16"/>
        <v>193489.4757254295</v>
      </c>
      <c r="O101" s="44">
        <f t="shared" si="17"/>
        <v>25187610.033702455</v>
      </c>
    </row>
    <row r="102" spans="1:15" ht="12.75">
      <c r="A102" s="170">
        <v>46283</v>
      </c>
      <c r="B102" s="35">
        <f>IF(DIAS365('CALCULADORA TIS Pesos H-2'!$E$6,A102)&lt;0,0,DIAS365('CALCULADORA TIS Pesos H-2'!$E$6,A102))</f>
        <v>1034</v>
      </c>
      <c r="C102" s="36">
        <f>+HLOOKUP('CALCULADORA TIS Pesos H-2'!$E$4,Tablas!$B$1:$B$181,Flujos!J102+1,FALSE)</f>
        <v>0.00215571</v>
      </c>
      <c r="D102" s="76">
        <f t="shared" si="9"/>
        <v>0</v>
      </c>
      <c r="E102" s="37">
        <f t="shared" si="11"/>
        <v>0.215571</v>
      </c>
      <c r="F102" s="37">
        <f>ROUND(D101*ROUND(((1+'CALCULADORA TIS Pesos H-2'!$C$14)^(1/12)-1),6),6)</f>
        <v>0.001268</v>
      </c>
      <c r="G102" s="37">
        <f t="shared" si="12"/>
        <v>0.216839</v>
      </c>
      <c r="H102" s="38">
        <f>IF($B102=0,0,G102/POWER(1+'CALCULADORA TIS Pesos H-2'!$F$11,Flujos!$B102/365))</f>
        <v>0.16279027113154415</v>
      </c>
      <c r="I102" s="39">
        <f t="shared" si="10"/>
        <v>46283</v>
      </c>
      <c r="J102" s="40">
        <v>100</v>
      </c>
      <c r="K102" s="41">
        <f t="shared" si="13"/>
        <v>3043</v>
      </c>
      <c r="L102" s="42">
        <f t="shared" si="14"/>
        <v>1.0365620255470276E-06</v>
      </c>
      <c r="M102" s="43">
        <f t="shared" si="15"/>
        <v>7906657.494296978</v>
      </c>
      <c r="N102" s="43">
        <f t="shared" si="16"/>
        <v>46499.052723966626</v>
      </c>
      <c r="O102" s="44">
        <f t="shared" si="17"/>
        <v>7953156.547020945</v>
      </c>
    </row>
    <row r="103" spans="1:15" ht="12.75">
      <c r="A103" s="170">
        <v>46313</v>
      </c>
      <c r="B103" s="35">
        <f>IF(DIAS365('CALCULADORA TIS Pesos H-2'!$E$6,A103)&lt;0,0,DIAS365('CALCULADORA TIS Pesos H-2'!$E$6,A103))</f>
        <v>1064</v>
      </c>
      <c r="C103" s="36">
        <f>+HLOOKUP('CALCULADORA TIS Pesos H-2'!$E$4,Tablas!$B$1:$B$181,Flujos!J103+1,FALSE)</f>
        <v>0</v>
      </c>
      <c r="D103" s="76">
        <f t="shared" si="9"/>
        <v>0</v>
      </c>
      <c r="E103" s="37">
        <f t="shared" si="11"/>
        <v>0</v>
      </c>
      <c r="F103" s="37">
        <f>ROUND(D102*ROUND(((1+'CALCULADORA TIS Pesos H-2'!$C$14)^(1/12)-1),6),6)</f>
        <v>0</v>
      </c>
      <c r="G103" s="37">
        <f t="shared" si="12"/>
        <v>0</v>
      </c>
      <c r="H103" s="38">
        <f>IF($B103=0,0,G103/POWER(1+'CALCULADORA TIS Pesos H-2'!$F$11,Flujos!$B103/365))</f>
        <v>0</v>
      </c>
      <c r="I103" s="39">
        <f t="shared" si="10"/>
        <v>46313</v>
      </c>
      <c r="J103" s="40">
        <v>101</v>
      </c>
      <c r="K103" s="41">
        <f t="shared" si="13"/>
        <v>3073</v>
      </c>
      <c r="L103" s="42">
        <f t="shared" si="14"/>
        <v>1.0365620255470276E-06</v>
      </c>
      <c r="M103" s="43">
        <f t="shared" si="15"/>
        <v>0</v>
      </c>
      <c r="N103" s="43">
        <f t="shared" si="16"/>
        <v>6.096021272242069E-09</v>
      </c>
      <c r="O103" s="44">
        <f t="shared" si="17"/>
        <v>6.096021272242069E-09</v>
      </c>
    </row>
    <row r="104" spans="1:15" ht="12.75">
      <c r="A104" s="170">
        <v>46344</v>
      </c>
      <c r="B104" s="35">
        <f>IF(DIAS365('CALCULADORA TIS Pesos H-2'!$E$6,A104)&lt;0,0,DIAS365('CALCULADORA TIS Pesos H-2'!$E$6,A104))</f>
        <v>1095</v>
      </c>
      <c r="C104" s="36">
        <f>+HLOOKUP('CALCULADORA TIS Pesos H-2'!$E$4,Tablas!$B$1:$B$181,Flujos!J104+1,FALSE)</f>
        <v>0</v>
      </c>
      <c r="D104" s="76">
        <f t="shared" si="9"/>
        <v>0</v>
      </c>
      <c r="E104" s="37">
        <f t="shared" si="11"/>
        <v>0</v>
      </c>
      <c r="F104" s="37">
        <f>ROUND(D103*ROUND(((1+'CALCULADORA TIS Pesos H-2'!$C$14)^(1/12)-1),6),6)</f>
        <v>0</v>
      </c>
      <c r="G104" s="37">
        <f t="shared" si="12"/>
        <v>0</v>
      </c>
      <c r="H104" s="38">
        <f>IF($B104=0,0,G104/POWER(1+'CALCULADORA TIS Pesos H-2'!$F$11,Flujos!$B104/365))</f>
        <v>0</v>
      </c>
      <c r="I104" s="39">
        <f t="shared" si="10"/>
        <v>46344</v>
      </c>
      <c r="J104" s="40">
        <v>102</v>
      </c>
      <c r="K104" s="41">
        <f t="shared" si="13"/>
        <v>3104</v>
      </c>
      <c r="L104" s="42">
        <f t="shared" si="14"/>
        <v>1.0365620255470276E-06</v>
      </c>
      <c r="M104" s="43">
        <f t="shared" si="15"/>
        <v>0</v>
      </c>
      <c r="N104" s="43">
        <f t="shared" si="16"/>
        <v>6.096021272242069E-09</v>
      </c>
      <c r="O104" s="44">
        <f t="shared" si="17"/>
        <v>6.096021272242069E-09</v>
      </c>
    </row>
    <row r="105" spans="1:15" ht="12.75">
      <c r="A105" s="170">
        <v>46374</v>
      </c>
      <c r="B105" s="35">
        <f>IF(DIAS365('CALCULADORA TIS Pesos H-2'!$E$6,A105)&lt;0,0,DIAS365('CALCULADORA TIS Pesos H-2'!$E$6,A105))</f>
        <v>1125</v>
      </c>
      <c r="C105" s="36">
        <f>+HLOOKUP('CALCULADORA TIS Pesos H-2'!$E$4,Tablas!$B$1:$B$181,Flujos!J105+1,FALSE)</f>
        <v>0</v>
      </c>
      <c r="D105" s="76">
        <f t="shared" si="9"/>
        <v>0</v>
      </c>
      <c r="E105" s="37">
        <f t="shared" si="11"/>
        <v>0</v>
      </c>
      <c r="F105" s="37">
        <f>ROUND(D104*ROUND(((1+'CALCULADORA TIS Pesos H-2'!$C$14)^(1/12)-1),6),6)</f>
        <v>0</v>
      </c>
      <c r="G105" s="37">
        <f t="shared" si="12"/>
        <v>0</v>
      </c>
      <c r="H105" s="38">
        <f>IF($B105=0,0,G105/POWER(1+'CALCULADORA TIS Pesos H-2'!$F$11,Flujos!$B105/365))</f>
        <v>0</v>
      </c>
      <c r="I105" s="39">
        <f t="shared" si="10"/>
        <v>46374</v>
      </c>
      <c r="J105" s="40">
        <v>103</v>
      </c>
      <c r="K105" s="41">
        <f t="shared" si="13"/>
        <v>3134</v>
      </c>
      <c r="L105" s="42">
        <f t="shared" si="14"/>
        <v>1.0365620255470276E-06</v>
      </c>
      <c r="M105" s="43">
        <f t="shared" si="15"/>
        <v>0</v>
      </c>
      <c r="N105" s="43">
        <f t="shared" si="16"/>
        <v>6.096021272242069E-09</v>
      </c>
      <c r="O105" s="44">
        <f t="shared" si="17"/>
        <v>6.096021272242069E-09</v>
      </c>
    </row>
    <row r="106" spans="1:15" ht="12.75">
      <c r="A106" s="170">
        <v>46405</v>
      </c>
      <c r="B106" s="35">
        <f>IF(DIAS365('CALCULADORA TIS Pesos H-2'!$E$6,A106)&lt;0,0,DIAS365('CALCULADORA TIS Pesos H-2'!$E$6,A106))</f>
        <v>1156</v>
      </c>
      <c r="C106" s="36">
        <f>+HLOOKUP('CALCULADORA TIS Pesos H-2'!$E$4,Tablas!$B$1:$B$181,Flujos!J106+1,FALSE)</f>
        <v>0</v>
      </c>
      <c r="D106" s="76">
        <f t="shared" si="9"/>
        <v>0</v>
      </c>
      <c r="E106" s="37">
        <f t="shared" si="11"/>
        <v>0</v>
      </c>
      <c r="F106" s="37">
        <f>ROUND(D105*ROUND(((1+'CALCULADORA TIS Pesos H-2'!$C$14)^(1/12)-1),6),6)</f>
        <v>0</v>
      </c>
      <c r="G106" s="37">
        <f t="shared" si="12"/>
        <v>0</v>
      </c>
      <c r="H106" s="38">
        <f>IF($B106=0,0,G106/POWER(1+'CALCULADORA TIS Pesos H-2'!$F$11,Flujos!$B106/365))</f>
        <v>0</v>
      </c>
      <c r="I106" s="39">
        <f t="shared" si="10"/>
        <v>46405</v>
      </c>
      <c r="J106" s="40">
        <v>104</v>
      </c>
      <c r="K106" s="41">
        <f t="shared" si="13"/>
        <v>3165</v>
      </c>
      <c r="L106" s="42">
        <f t="shared" si="14"/>
        <v>1.0365620255470276E-06</v>
      </c>
      <c r="M106" s="43">
        <f t="shared" si="15"/>
        <v>0</v>
      </c>
      <c r="N106" s="43">
        <f t="shared" si="16"/>
        <v>6.096021272242069E-09</v>
      </c>
      <c r="O106" s="44">
        <f t="shared" si="17"/>
        <v>6.096021272242069E-09</v>
      </c>
    </row>
    <row r="107" spans="1:15" ht="12.75">
      <c r="A107" s="170">
        <v>46436</v>
      </c>
      <c r="B107" s="35">
        <f>IF(DIAS365('CALCULADORA TIS Pesos H-2'!$E$6,A107)&lt;0,0,DIAS365('CALCULADORA TIS Pesos H-2'!$E$6,A107))</f>
        <v>1187</v>
      </c>
      <c r="C107" s="36">
        <f>+HLOOKUP('CALCULADORA TIS Pesos H-2'!$E$4,Tablas!$B$1:$B$181,Flujos!J107+1,FALSE)</f>
        <v>0</v>
      </c>
      <c r="D107" s="76">
        <f t="shared" si="9"/>
        <v>0</v>
      </c>
      <c r="E107" s="37">
        <f t="shared" si="11"/>
        <v>0</v>
      </c>
      <c r="F107" s="37">
        <f>ROUND(D106*ROUND(((1+'CALCULADORA TIS Pesos H-2'!$C$14)^(1/12)-1),6),6)</f>
        <v>0</v>
      </c>
      <c r="G107" s="37">
        <f t="shared" si="12"/>
        <v>0</v>
      </c>
      <c r="H107" s="38">
        <f>IF($B107=0,0,G107/POWER(1+'CALCULADORA TIS Pesos H-2'!$F$11,Flujos!$B107/365))</f>
        <v>0</v>
      </c>
      <c r="I107" s="39">
        <f t="shared" si="10"/>
        <v>46436</v>
      </c>
      <c r="J107" s="40">
        <v>105</v>
      </c>
      <c r="K107" s="41">
        <f t="shared" si="13"/>
        <v>3196</v>
      </c>
      <c r="L107" s="42">
        <f t="shared" si="14"/>
        <v>1.0365620255470276E-06</v>
      </c>
      <c r="M107" s="43">
        <f t="shared" si="15"/>
        <v>0</v>
      </c>
      <c r="N107" s="43">
        <f t="shared" si="16"/>
        <v>6.096021272242069E-09</v>
      </c>
      <c r="O107" s="44">
        <f t="shared" si="17"/>
        <v>6.096021272242069E-09</v>
      </c>
    </row>
    <row r="108" spans="1:15" ht="12.75">
      <c r="A108" s="170">
        <v>46464</v>
      </c>
      <c r="B108" s="35">
        <f>IF(DIAS365('CALCULADORA TIS Pesos H-2'!$E$6,A108)&lt;0,0,DIAS365('CALCULADORA TIS Pesos H-2'!$E$6,A108))</f>
        <v>1215</v>
      </c>
      <c r="C108" s="36">
        <f>+HLOOKUP('CALCULADORA TIS Pesos H-2'!$E$4,Tablas!$B$1:$B$181,Flujos!J108+1,FALSE)</f>
        <v>0</v>
      </c>
      <c r="D108" s="76">
        <f t="shared" si="9"/>
        <v>0</v>
      </c>
      <c r="E108" s="37">
        <f t="shared" si="11"/>
        <v>0</v>
      </c>
      <c r="F108" s="37">
        <f>ROUND(D107*ROUND(((1+'CALCULADORA TIS Pesos H-2'!$C$14)^(1/12)-1),6),6)</f>
        <v>0</v>
      </c>
      <c r="G108" s="37">
        <f t="shared" si="12"/>
        <v>0</v>
      </c>
      <c r="H108" s="38">
        <f>IF($B108=0,0,G108/POWER(1+'CALCULADORA TIS Pesos H-2'!$F$11,Flujos!$B108/365))</f>
        <v>0</v>
      </c>
      <c r="I108" s="39">
        <f t="shared" si="10"/>
        <v>46464</v>
      </c>
      <c r="J108" s="40">
        <v>106</v>
      </c>
      <c r="K108" s="41">
        <f t="shared" si="13"/>
        <v>3224</v>
      </c>
      <c r="L108" s="42">
        <f t="shared" si="14"/>
        <v>1.0365620255470276E-06</v>
      </c>
      <c r="M108" s="43">
        <f t="shared" si="15"/>
        <v>0</v>
      </c>
      <c r="N108" s="43">
        <f t="shared" si="16"/>
        <v>6.096021272242069E-09</v>
      </c>
      <c r="O108" s="44">
        <f t="shared" si="17"/>
        <v>6.096021272242069E-09</v>
      </c>
    </row>
    <row r="109" spans="1:15" ht="12.75">
      <c r="A109" s="170">
        <v>46495</v>
      </c>
      <c r="B109" s="35">
        <f>IF(DIAS365('CALCULADORA TIS Pesos H-2'!$E$6,A109)&lt;0,0,DIAS365('CALCULADORA TIS Pesos H-2'!$E$6,A109))</f>
        <v>1246</v>
      </c>
      <c r="C109" s="36">
        <f>+HLOOKUP('CALCULADORA TIS Pesos H-2'!$E$4,Tablas!$B$1:$B$181,Flujos!J109+1,FALSE)</f>
        <v>0</v>
      </c>
      <c r="D109" s="76">
        <f t="shared" si="9"/>
        <v>0</v>
      </c>
      <c r="E109" s="37">
        <f t="shared" si="11"/>
        <v>0</v>
      </c>
      <c r="F109" s="37">
        <f>ROUND(D108*ROUND(((1+'CALCULADORA TIS Pesos H-2'!$C$14)^(1/12)-1),6),6)</f>
        <v>0</v>
      </c>
      <c r="G109" s="37">
        <f t="shared" si="12"/>
        <v>0</v>
      </c>
      <c r="H109" s="38">
        <f>IF($B109=0,0,G109/POWER(1+'CALCULADORA TIS Pesos H-2'!$F$11,Flujos!$B109/365))</f>
        <v>0</v>
      </c>
      <c r="I109" s="39">
        <f t="shared" si="10"/>
        <v>46495</v>
      </c>
      <c r="J109" s="40">
        <v>107</v>
      </c>
      <c r="K109" s="41">
        <f t="shared" si="13"/>
        <v>3255</v>
      </c>
      <c r="L109" s="42">
        <f t="shared" si="14"/>
        <v>1.0365620255470276E-06</v>
      </c>
      <c r="M109" s="43">
        <f t="shared" si="15"/>
        <v>0</v>
      </c>
      <c r="N109" s="43">
        <f t="shared" si="16"/>
        <v>6.096021272242069E-09</v>
      </c>
      <c r="O109" s="44">
        <f t="shared" si="17"/>
        <v>6.096021272242069E-09</v>
      </c>
    </row>
    <row r="110" spans="1:15" ht="12.75">
      <c r="A110" s="170">
        <v>46525</v>
      </c>
      <c r="B110" s="35">
        <f>IF(DIAS365('CALCULADORA TIS Pesos H-2'!$E$6,A110)&lt;0,0,DIAS365('CALCULADORA TIS Pesos H-2'!$E$6,A110))</f>
        <v>1276</v>
      </c>
      <c r="C110" s="36">
        <f>+HLOOKUP('CALCULADORA TIS Pesos H-2'!$E$4,Tablas!$B$1:$B$181,Flujos!J110+1,FALSE)</f>
        <v>0</v>
      </c>
      <c r="D110" s="76">
        <f t="shared" si="9"/>
        <v>0</v>
      </c>
      <c r="E110" s="37">
        <f t="shared" si="11"/>
        <v>0</v>
      </c>
      <c r="F110" s="37">
        <f>ROUND(D109*ROUND(((1+'CALCULADORA TIS Pesos H-2'!$C$14)^(1/12)-1),6),6)</f>
        <v>0</v>
      </c>
      <c r="G110" s="37">
        <f t="shared" si="12"/>
        <v>0</v>
      </c>
      <c r="H110" s="38">
        <f>IF($B110=0,0,G110/POWER(1+'CALCULADORA TIS Pesos H-2'!$F$11,Flujos!$B110/365))</f>
        <v>0</v>
      </c>
      <c r="I110" s="39">
        <f t="shared" si="10"/>
        <v>46525</v>
      </c>
      <c r="J110" s="40">
        <v>108</v>
      </c>
      <c r="K110" s="41">
        <f t="shared" si="13"/>
        <v>3285</v>
      </c>
      <c r="L110" s="42">
        <f t="shared" si="14"/>
        <v>1.0365620255470276E-06</v>
      </c>
      <c r="M110" s="43">
        <f t="shared" si="15"/>
        <v>0</v>
      </c>
      <c r="N110" s="43">
        <f t="shared" si="16"/>
        <v>6.096021272242069E-09</v>
      </c>
      <c r="O110" s="44">
        <f t="shared" si="17"/>
        <v>6.096021272242069E-09</v>
      </c>
    </row>
    <row r="111" spans="1:15" ht="12.75">
      <c r="A111" s="170">
        <v>46556</v>
      </c>
      <c r="B111" s="35">
        <f>IF(DIAS365('CALCULADORA TIS Pesos H-2'!$E$6,A111)&lt;0,0,DIAS365('CALCULADORA TIS Pesos H-2'!$E$6,A111))</f>
        <v>1307</v>
      </c>
      <c r="C111" s="36">
        <f>+HLOOKUP('CALCULADORA TIS Pesos H-2'!$E$4,Tablas!$B$1:$B$181,Flujos!J111+1,FALSE)</f>
        <v>0</v>
      </c>
      <c r="D111" s="76">
        <f t="shared" si="9"/>
        <v>0</v>
      </c>
      <c r="E111" s="37">
        <f t="shared" si="11"/>
        <v>0</v>
      </c>
      <c r="F111" s="37">
        <f>ROUND(D110*ROUND(((1+'CALCULADORA TIS Pesos H-2'!$C$14)^(1/12)-1),6),6)</f>
        <v>0</v>
      </c>
      <c r="G111" s="37">
        <f t="shared" si="12"/>
        <v>0</v>
      </c>
      <c r="H111" s="38">
        <f>IF($B111=0,0,G111/POWER(1+'CALCULADORA TIS Pesos H-2'!$F$11,Flujos!$B111/365))</f>
        <v>0</v>
      </c>
      <c r="I111" s="39">
        <f t="shared" si="10"/>
        <v>46556</v>
      </c>
      <c r="J111" s="40">
        <v>109</v>
      </c>
      <c r="K111" s="41">
        <f t="shared" si="13"/>
        <v>3316</v>
      </c>
      <c r="L111" s="42">
        <f t="shared" si="14"/>
        <v>1.0365620255470276E-06</v>
      </c>
      <c r="M111" s="43">
        <f t="shared" si="15"/>
        <v>0</v>
      </c>
      <c r="N111" s="43">
        <f t="shared" si="16"/>
        <v>6.096021272242069E-09</v>
      </c>
      <c r="O111" s="44">
        <f t="shared" si="17"/>
        <v>6.096021272242069E-09</v>
      </c>
    </row>
    <row r="112" spans="1:15" ht="12.75">
      <c r="A112" s="170">
        <v>46586</v>
      </c>
      <c r="B112" s="35">
        <f>IF(DIAS365('CALCULADORA TIS Pesos H-2'!$E$6,A112)&lt;0,0,DIAS365('CALCULADORA TIS Pesos H-2'!$E$6,A112))</f>
        <v>1337</v>
      </c>
      <c r="C112" s="36">
        <f>+HLOOKUP('CALCULADORA TIS Pesos H-2'!$E$4,Tablas!$B$1:$B$181,Flujos!J112+1,FALSE)</f>
        <v>0</v>
      </c>
      <c r="D112" s="76">
        <f t="shared" si="9"/>
        <v>0</v>
      </c>
      <c r="E112" s="37">
        <f t="shared" si="11"/>
        <v>0</v>
      </c>
      <c r="F112" s="37">
        <f>ROUND(D111*ROUND(((1+'CALCULADORA TIS Pesos H-2'!$C$14)^(1/12)-1),6),6)</f>
        <v>0</v>
      </c>
      <c r="G112" s="37">
        <f t="shared" si="12"/>
        <v>0</v>
      </c>
      <c r="H112" s="38">
        <f>IF($B112=0,0,G112/POWER(1+'CALCULADORA TIS Pesos H-2'!$F$11,Flujos!$B112/365))</f>
        <v>0</v>
      </c>
      <c r="I112" s="39">
        <f t="shared" si="10"/>
        <v>46586</v>
      </c>
      <c r="J112" s="40">
        <v>110</v>
      </c>
      <c r="K112" s="41">
        <f t="shared" si="13"/>
        <v>3346</v>
      </c>
      <c r="L112" s="42">
        <f t="shared" si="14"/>
        <v>1.0365620255470276E-06</v>
      </c>
      <c r="M112" s="43">
        <f t="shared" si="15"/>
        <v>0</v>
      </c>
      <c r="N112" s="43">
        <f t="shared" si="16"/>
        <v>6.096021272242069E-09</v>
      </c>
      <c r="O112" s="44">
        <f t="shared" si="17"/>
        <v>6.096021272242069E-09</v>
      </c>
    </row>
    <row r="113" spans="1:15" ht="12.75">
      <c r="A113" s="170">
        <v>46617</v>
      </c>
      <c r="B113" s="35">
        <f>IF(DIAS365('CALCULADORA TIS Pesos H-2'!$E$6,A113)&lt;0,0,DIAS365('CALCULADORA TIS Pesos H-2'!$E$6,A113))</f>
        <v>1368</v>
      </c>
      <c r="C113" s="36">
        <f>+HLOOKUP('CALCULADORA TIS Pesos H-2'!$E$4,Tablas!$B$1:$B$181,Flujos!J113+1,FALSE)</f>
        <v>0</v>
      </c>
      <c r="D113" s="76">
        <f t="shared" si="9"/>
        <v>0</v>
      </c>
      <c r="E113" s="37">
        <f t="shared" si="11"/>
        <v>0</v>
      </c>
      <c r="F113" s="37">
        <f>ROUND(D112*ROUND(((1+'CALCULADORA TIS Pesos H-2'!$C$14)^(1/12)-1),6),6)</f>
        <v>0</v>
      </c>
      <c r="G113" s="37">
        <f t="shared" si="12"/>
        <v>0</v>
      </c>
      <c r="H113" s="38">
        <f>IF($B113=0,0,G113/POWER(1+'CALCULADORA TIS Pesos H-2'!$F$11,Flujos!$B113/365))</f>
        <v>0</v>
      </c>
      <c r="I113" s="39">
        <f t="shared" si="10"/>
        <v>46617</v>
      </c>
      <c r="J113" s="40">
        <v>111</v>
      </c>
      <c r="K113" s="41">
        <f t="shared" si="13"/>
        <v>3377</v>
      </c>
      <c r="L113" s="42">
        <f t="shared" si="14"/>
        <v>1.0365620255470276E-06</v>
      </c>
      <c r="M113" s="43">
        <f t="shared" si="15"/>
        <v>0</v>
      </c>
      <c r="N113" s="43">
        <f t="shared" si="16"/>
        <v>6.096021272242069E-09</v>
      </c>
      <c r="O113" s="44">
        <f t="shared" si="17"/>
        <v>6.096021272242069E-09</v>
      </c>
    </row>
    <row r="114" spans="1:15" ht="12.75">
      <c r="A114" s="170">
        <v>46648</v>
      </c>
      <c r="B114" s="35">
        <f>IF(DIAS365('CALCULADORA TIS Pesos H-2'!$E$6,A114)&lt;0,0,DIAS365('CALCULADORA TIS Pesos H-2'!$E$6,A114))</f>
        <v>1399</v>
      </c>
      <c r="C114" s="36">
        <f>+HLOOKUP('CALCULADORA TIS Pesos H-2'!$E$4,Tablas!$B$1:$B$181,Flujos!J114+1,FALSE)</f>
        <v>0</v>
      </c>
      <c r="D114" s="76">
        <f t="shared" si="9"/>
        <v>0</v>
      </c>
      <c r="E114" s="37">
        <f t="shared" si="11"/>
        <v>0</v>
      </c>
      <c r="F114" s="37">
        <f>ROUND(D113*ROUND(((1+'CALCULADORA TIS Pesos H-2'!$C$14)^(1/12)-1),6),6)</f>
        <v>0</v>
      </c>
      <c r="G114" s="37">
        <f t="shared" si="12"/>
        <v>0</v>
      </c>
      <c r="H114" s="38">
        <f>IF($B114=0,0,G114/POWER(1+'CALCULADORA TIS Pesos H-2'!$F$11,Flujos!$B114/365))</f>
        <v>0</v>
      </c>
      <c r="I114" s="39">
        <f t="shared" si="10"/>
        <v>46648</v>
      </c>
      <c r="J114" s="40">
        <v>112</v>
      </c>
      <c r="K114" s="41">
        <f t="shared" si="13"/>
        <v>3408</v>
      </c>
      <c r="L114" s="42">
        <f t="shared" si="14"/>
        <v>1.0365620255470276E-06</v>
      </c>
      <c r="M114" s="43">
        <f t="shared" si="15"/>
        <v>0</v>
      </c>
      <c r="N114" s="43">
        <f t="shared" si="16"/>
        <v>6.096021272242069E-09</v>
      </c>
      <c r="O114" s="44">
        <f t="shared" si="17"/>
        <v>6.096021272242069E-09</v>
      </c>
    </row>
    <row r="115" spans="1:15" ht="12.75">
      <c r="A115" s="170">
        <v>46678</v>
      </c>
      <c r="B115" s="35">
        <f>IF(DIAS365('CALCULADORA TIS Pesos H-2'!$E$6,A115)&lt;0,0,DIAS365('CALCULADORA TIS Pesos H-2'!$E$6,A115))</f>
        <v>1429</v>
      </c>
      <c r="C115" s="36">
        <f>+HLOOKUP('CALCULADORA TIS Pesos H-2'!$E$4,Tablas!$B$1:$B$181,Flujos!J115+1,FALSE)</f>
        <v>0</v>
      </c>
      <c r="D115" s="76">
        <f t="shared" si="9"/>
        <v>0</v>
      </c>
      <c r="E115" s="37">
        <f t="shared" si="11"/>
        <v>0</v>
      </c>
      <c r="F115" s="37">
        <f>ROUND(D114*ROUND(((1+'CALCULADORA TIS Pesos H-2'!$C$14)^(1/12)-1),6),6)</f>
        <v>0</v>
      </c>
      <c r="G115" s="37">
        <f t="shared" si="12"/>
        <v>0</v>
      </c>
      <c r="H115" s="38">
        <f>IF($B115=0,0,G115/POWER(1+'CALCULADORA TIS Pesos H-2'!$F$11,Flujos!$B115/365))</f>
        <v>0</v>
      </c>
      <c r="I115" s="39">
        <f t="shared" si="10"/>
        <v>46678</v>
      </c>
      <c r="J115" s="40">
        <v>113</v>
      </c>
      <c r="K115" s="41">
        <f t="shared" si="13"/>
        <v>3438</v>
      </c>
      <c r="L115" s="42">
        <f t="shared" si="14"/>
        <v>1.0365620255470276E-06</v>
      </c>
      <c r="M115" s="43">
        <f t="shared" si="15"/>
        <v>0</v>
      </c>
      <c r="N115" s="43">
        <f t="shared" si="16"/>
        <v>6.096021272242069E-09</v>
      </c>
      <c r="O115" s="44">
        <f t="shared" si="17"/>
        <v>6.096021272242069E-09</v>
      </c>
    </row>
    <row r="116" spans="1:15" ht="12.75">
      <c r="A116" s="170">
        <v>46709</v>
      </c>
      <c r="B116" s="35">
        <f>IF(DIAS365('CALCULADORA TIS Pesos H-2'!$E$6,A116)&lt;0,0,DIAS365('CALCULADORA TIS Pesos H-2'!$E$6,A116))</f>
        <v>1460</v>
      </c>
      <c r="C116" s="36">
        <f>+HLOOKUP('CALCULADORA TIS Pesos H-2'!$E$4,Tablas!$B$1:$B$181,Flujos!J116+1,FALSE)</f>
        <v>0</v>
      </c>
      <c r="D116" s="76">
        <f t="shared" si="9"/>
        <v>0</v>
      </c>
      <c r="E116" s="37">
        <f t="shared" si="11"/>
        <v>0</v>
      </c>
      <c r="F116" s="37">
        <f>ROUND(D115*ROUND(((1+'CALCULADORA TIS Pesos H-2'!$C$14)^(1/12)-1),6),6)</f>
        <v>0</v>
      </c>
      <c r="G116" s="37">
        <f t="shared" si="12"/>
        <v>0</v>
      </c>
      <c r="H116" s="38">
        <f>IF($B116=0,0,G116/POWER(1+'CALCULADORA TIS Pesos H-2'!$F$11,Flujos!$B116/365))</f>
        <v>0</v>
      </c>
      <c r="I116" s="39">
        <f t="shared" si="10"/>
        <v>46709</v>
      </c>
      <c r="J116" s="40">
        <v>114</v>
      </c>
      <c r="K116" s="41">
        <f t="shared" si="13"/>
        <v>3469</v>
      </c>
      <c r="L116" s="42">
        <f t="shared" si="14"/>
        <v>1.0365620255470276E-06</v>
      </c>
      <c r="M116" s="43">
        <f t="shared" si="15"/>
        <v>0</v>
      </c>
      <c r="N116" s="43">
        <f t="shared" si="16"/>
        <v>6.096021272242069E-09</v>
      </c>
      <c r="O116" s="44">
        <f t="shared" si="17"/>
        <v>6.096021272242069E-09</v>
      </c>
    </row>
    <row r="117" spans="1:15" ht="12.75">
      <c r="A117" s="170">
        <v>46739</v>
      </c>
      <c r="B117" s="35">
        <f>IF(DIAS365('CALCULADORA TIS Pesos H-2'!$E$6,A117)&lt;0,0,DIAS365('CALCULADORA TIS Pesos H-2'!$E$6,A117))</f>
        <v>1490</v>
      </c>
      <c r="C117" s="36">
        <f>+HLOOKUP('CALCULADORA TIS Pesos H-2'!$E$4,Tablas!$B$1:$B$181,Flujos!J117+1,FALSE)</f>
        <v>0</v>
      </c>
      <c r="D117" s="76">
        <f t="shared" si="9"/>
        <v>0</v>
      </c>
      <c r="E117" s="37">
        <f t="shared" si="11"/>
        <v>0</v>
      </c>
      <c r="F117" s="37">
        <f>ROUND(D116*ROUND(((1+'CALCULADORA TIS Pesos H-2'!$C$14)^(1/12)-1),6),6)</f>
        <v>0</v>
      </c>
      <c r="G117" s="37">
        <f t="shared" si="12"/>
        <v>0</v>
      </c>
      <c r="H117" s="38">
        <f>IF($B117=0,0,G117/POWER(1+'CALCULADORA TIS Pesos H-2'!$F$11,Flujos!$B117/365))</f>
        <v>0</v>
      </c>
      <c r="I117" s="39">
        <f t="shared" si="10"/>
        <v>46739</v>
      </c>
      <c r="J117" s="40">
        <v>115</v>
      </c>
      <c r="K117" s="41">
        <f t="shared" si="13"/>
        <v>3499</v>
      </c>
      <c r="L117" s="42">
        <f t="shared" si="14"/>
        <v>1.0365620255470276E-06</v>
      </c>
      <c r="M117" s="43">
        <f t="shared" si="15"/>
        <v>0</v>
      </c>
      <c r="N117" s="43">
        <f t="shared" si="16"/>
        <v>6.096021272242069E-09</v>
      </c>
      <c r="O117" s="44">
        <f t="shared" si="17"/>
        <v>6.096021272242069E-09</v>
      </c>
    </row>
    <row r="118" spans="1:15" ht="12.75">
      <c r="A118" s="170">
        <v>46770</v>
      </c>
      <c r="B118" s="35">
        <f>IF(DIAS365('CALCULADORA TIS Pesos H-2'!$E$6,A118)&lt;0,0,DIAS365('CALCULADORA TIS Pesos H-2'!$E$6,A118))</f>
        <v>1521</v>
      </c>
      <c r="C118" s="36">
        <f>+HLOOKUP('CALCULADORA TIS Pesos H-2'!$E$4,Tablas!$B$1:$B$181,Flujos!J118+1,FALSE)</f>
        <v>0</v>
      </c>
      <c r="D118" s="76">
        <f t="shared" si="9"/>
        <v>0</v>
      </c>
      <c r="E118" s="37">
        <f t="shared" si="11"/>
        <v>0</v>
      </c>
      <c r="F118" s="37">
        <f>ROUND(D117*ROUND(((1+'CALCULADORA TIS Pesos H-2'!$C$14)^(1/12)-1),6),6)</f>
        <v>0</v>
      </c>
      <c r="G118" s="37">
        <f t="shared" si="12"/>
        <v>0</v>
      </c>
      <c r="H118" s="38">
        <f>IF($B118=0,0,G118/POWER(1+'CALCULADORA TIS Pesos H-2'!$F$11,Flujos!$B118/365))</f>
        <v>0</v>
      </c>
      <c r="I118" s="39">
        <f t="shared" si="10"/>
        <v>46770</v>
      </c>
      <c r="J118" s="40">
        <v>116</v>
      </c>
      <c r="K118" s="41">
        <f t="shared" si="13"/>
        <v>3530</v>
      </c>
      <c r="L118" s="42">
        <f t="shared" si="14"/>
        <v>1.0365620255470276E-06</v>
      </c>
      <c r="M118" s="43">
        <f t="shared" si="15"/>
        <v>0</v>
      </c>
      <c r="N118" s="43">
        <f t="shared" si="16"/>
        <v>6.096021272242069E-09</v>
      </c>
      <c r="O118" s="44">
        <f t="shared" si="17"/>
        <v>6.096021272242069E-09</v>
      </c>
    </row>
    <row r="119" spans="1:15" ht="12.75">
      <c r="A119" s="170">
        <v>46801</v>
      </c>
      <c r="B119" s="35">
        <f>IF(DIAS365('CALCULADORA TIS Pesos H-2'!$E$6,A119)&lt;0,0,DIAS365('CALCULADORA TIS Pesos H-2'!$E$6,A119))</f>
        <v>1552</v>
      </c>
      <c r="C119" s="36">
        <f>+HLOOKUP('CALCULADORA TIS Pesos H-2'!$E$4,Tablas!$B$1:$B$181,Flujos!J119+1,FALSE)</f>
        <v>0</v>
      </c>
      <c r="D119" s="76">
        <f t="shared" si="9"/>
        <v>0</v>
      </c>
      <c r="E119" s="37">
        <f t="shared" si="11"/>
        <v>0</v>
      </c>
      <c r="F119" s="37">
        <f>ROUND(D118*ROUND(((1+'CALCULADORA TIS Pesos H-2'!$C$14)^(1/12)-1),6),6)</f>
        <v>0</v>
      </c>
      <c r="G119" s="37">
        <f t="shared" si="12"/>
        <v>0</v>
      </c>
      <c r="H119" s="38">
        <f>IF($B119=0,0,G119/POWER(1+'CALCULADORA TIS Pesos H-2'!$F$11,Flujos!$B119/365))</f>
        <v>0</v>
      </c>
      <c r="I119" s="39">
        <f t="shared" si="10"/>
        <v>46801</v>
      </c>
      <c r="J119" s="40">
        <v>117</v>
      </c>
      <c r="K119" s="41">
        <f t="shared" si="13"/>
        <v>3561</v>
      </c>
      <c r="L119" s="42">
        <f t="shared" si="14"/>
        <v>1.0365620255470276E-06</v>
      </c>
      <c r="M119" s="43">
        <f t="shared" si="15"/>
        <v>0</v>
      </c>
      <c r="N119" s="43">
        <f t="shared" si="16"/>
        <v>6.096021272242069E-09</v>
      </c>
      <c r="O119" s="44">
        <f t="shared" si="17"/>
        <v>6.096021272242069E-09</v>
      </c>
    </row>
    <row r="120" spans="1:15" ht="12.75">
      <c r="A120" s="170">
        <v>46830</v>
      </c>
      <c r="B120" s="35">
        <f>IF(DIAS365('CALCULADORA TIS Pesos H-2'!$E$6,A120)&lt;0,0,DIAS365('CALCULADORA TIS Pesos H-2'!$E$6,A120))</f>
        <v>1580</v>
      </c>
      <c r="C120" s="36">
        <f>+HLOOKUP('CALCULADORA TIS Pesos H-2'!$E$4,Tablas!$B$1:$B$181,Flujos!J120+1,FALSE)</f>
        <v>0</v>
      </c>
      <c r="D120" s="76">
        <f t="shared" si="9"/>
        <v>0</v>
      </c>
      <c r="E120" s="37">
        <f t="shared" si="11"/>
        <v>0</v>
      </c>
      <c r="F120" s="37">
        <f>ROUND(D119*ROUND(((1+'CALCULADORA TIS Pesos H-2'!$C$14)^(1/12)-1),6),6)</f>
        <v>0</v>
      </c>
      <c r="G120" s="37">
        <f t="shared" si="12"/>
        <v>0</v>
      </c>
      <c r="H120" s="38">
        <f>IF($B120=0,0,G120/POWER(1+'CALCULADORA TIS Pesos H-2'!$F$11,Flujos!$B120/365))</f>
        <v>0</v>
      </c>
      <c r="I120" s="39">
        <f t="shared" si="10"/>
        <v>46830</v>
      </c>
      <c r="J120" s="40">
        <v>118</v>
      </c>
      <c r="K120" s="41">
        <f t="shared" si="13"/>
        <v>3589</v>
      </c>
      <c r="L120" s="42">
        <f t="shared" si="14"/>
        <v>1.0365620255470276E-06</v>
      </c>
      <c r="M120" s="43">
        <f t="shared" si="15"/>
        <v>0</v>
      </c>
      <c r="N120" s="43">
        <f t="shared" si="16"/>
        <v>6.096021272242069E-09</v>
      </c>
      <c r="O120" s="44">
        <f t="shared" si="17"/>
        <v>6.096021272242069E-09</v>
      </c>
    </row>
    <row r="121" spans="1:15" ht="12.75">
      <c r="A121" s="170">
        <v>46861</v>
      </c>
      <c r="B121" s="35">
        <f>IF(DIAS365('CALCULADORA TIS Pesos H-2'!$E$6,A121)&lt;0,0,DIAS365('CALCULADORA TIS Pesos H-2'!$E$6,A121))</f>
        <v>1611</v>
      </c>
      <c r="C121" s="36">
        <f>+HLOOKUP('CALCULADORA TIS Pesos H-2'!$E$4,Tablas!$B$1:$B$181,Flujos!J121+1,FALSE)</f>
        <v>0</v>
      </c>
      <c r="D121" s="76">
        <f t="shared" si="9"/>
        <v>0</v>
      </c>
      <c r="E121" s="37">
        <f t="shared" si="11"/>
        <v>0</v>
      </c>
      <c r="F121" s="37">
        <f>ROUND(D120*ROUND(((1+'CALCULADORA TIS Pesos H-2'!$C$14)^(1/12)-1),6),6)</f>
        <v>0</v>
      </c>
      <c r="G121" s="37">
        <f t="shared" si="12"/>
        <v>0</v>
      </c>
      <c r="H121" s="38">
        <f>IF($B121=0,0,G121/POWER(1+'CALCULADORA TIS Pesos H-2'!$F$11,Flujos!$B121/365))</f>
        <v>0</v>
      </c>
      <c r="I121" s="39">
        <f t="shared" si="10"/>
        <v>46861</v>
      </c>
      <c r="J121" s="40">
        <v>119</v>
      </c>
      <c r="K121" s="41">
        <f t="shared" si="13"/>
        <v>3620</v>
      </c>
      <c r="L121" s="42">
        <f t="shared" si="14"/>
        <v>1.0365620255470276E-06</v>
      </c>
      <c r="M121" s="43">
        <f t="shared" si="15"/>
        <v>0</v>
      </c>
      <c r="N121" s="43">
        <f t="shared" si="16"/>
        <v>6.096021272242069E-09</v>
      </c>
      <c r="O121" s="44">
        <f t="shared" si="17"/>
        <v>6.096021272242069E-09</v>
      </c>
    </row>
    <row r="122" spans="1:15" ht="12.75">
      <c r="A122" s="170">
        <v>46891</v>
      </c>
      <c r="B122" s="35">
        <f>IF(DIAS365('CALCULADORA TIS Pesos H-2'!$E$6,A122)&lt;0,0,DIAS365('CALCULADORA TIS Pesos H-2'!$E$6,A122))</f>
        <v>1641</v>
      </c>
      <c r="C122" s="36">
        <f>+HLOOKUP('CALCULADORA TIS Pesos H-2'!$E$4,Tablas!$B$1:$B$181,Flujos!J122+1,FALSE)</f>
        <v>0</v>
      </c>
      <c r="D122" s="76">
        <f t="shared" si="9"/>
        <v>0</v>
      </c>
      <c r="E122" s="37">
        <f t="shared" si="11"/>
        <v>0</v>
      </c>
      <c r="F122" s="37">
        <f>ROUND(D121*ROUND(((1+'CALCULADORA TIS Pesos H-2'!$C$14)^(1/12)-1),6),6)</f>
        <v>0</v>
      </c>
      <c r="G122" s="37">
        <f t="shared" si="12"/>
        <v>0</v>
      </c>
      <c r="H122" s="38">
        <f>IF($B122=0,0,G122/POWER(1+'CALCULADORA TIS Pesos H-2'!$F$11,Flujos!$B122/365))</f>
        <v>0</v>
      </c>
      <c r="I122" s="39">
        <f t="shared" si="10"/>
        <v>46891</v>
      </c>
      <c r="J122" s="40">
        <v>120</v>
      </c>
      <c r="K122" s="41">
        <f t="shared" si="13"/>
        <v>3650</v>
      </c>
      <c r="L122" s="42">
        <f t="shared" si="14"/>
        <v>1.0365620255470276E-06</v>
      </c>
      <c r="M122" s="43">
        <f t="shared" si="15"/>
        <v>0</v>
      </c>
      <c r="N122" s="43">
        <f t="shared" si="16"/>
        <v>6.096021272242069E-09</v>
      </c>
      <c r="O122" s="44">
        <f t="shared" si="17"/>
        <v>6.096021272242069E-09</v>
      </c>
    </row>
    <row r="123" spans="1:15" ht="12.75">
      <c r="A123" s="170">
        <v>46922</v>
      </c>
      <c r="B123" s="35">
        <f>IF(DIAS365('CALCULADORA TIS Pesos H-2'!$E$6,A123)&lt;0,0,DIAS365('CALCULADORA TIS Pesos H-2'!$E$6,A123))</f>
        <v>1672</v>
      </c>
      <c r="C123" s="36">
        <f>+HLOOKUP('CALCULADORA TIS Pesos H-2'!$E$4,Tablas!$B$1:$B$181,Flujos!J123+1,FALSE)</f>
        <v>0</v>
      </c>
      <c r="D123" s="76">
        <f t="shared" si="9"/>
        <v>0</v>
      </c>
      <c r="E123" s="37">
        <f t="shared" si="11"/>
        <v>0</v>
      </c>
      <c r="F123" s="37">
        <f>ROUND(D122*ROUND(((1+'CALCULADORA TIS Pesos H-2'!$C$14)^(1/12)-1),6),6)</f>
        <v>0</v>
      </c>
      <c r="G123" s="37">
        <f t="shared" si="12"/>
        <v>0</v>
      </c>
      <c r="H123" s="38">
        <f>IF($B123=0,0,G123/POWER(1+'CALCULADORA TIS Pesos H-2'!$F$11,Flujos!$B123/365))</f>
        <v>0</v>
      </c>
      <c r="I123" s="39">
        <f t="shared" si="10"/>
        <v>46922</v>
      </c>
      <c r="J123" s="40">
        <v>121</v>
      </c>
      <c r="K123" s="41">
        <f t="shared" si="13"/>
        <v>3681</v>
      </c>
      <c r="L123" s="42">
        <f t="shared" si="14"/>
        <v>1.0365620255470276E-06</v>
      </c>
      <c r="M123" s="43">
        <f t="shared" si="15"/>
        <v>0</v>
      </c>
      <c r="N123" s="43">
        <f t="shared" si="16"/>
        <v>6.096021272242069E-09</v>
      </c>
      <c r="O123" s="44">
        <f t="shared" si="17"/>
        <v>6.096021272242069E-09</v>
      </c>
    </row>
    <row r="124" spans="1:15" ht="12.75">
      <c r="A124" s="170">
        <v>46952</v>
      </c>
      <c r="B124" s="35">
        <f>IF(DIAS365('CALCULADORA TIS Pesos H-2'!$E$6,A124)&lt;0,0,DIAS365('CALCULADORA TIS Pesos H-2'!$E$6,A124))</f>
        <v>1702</v>
      </c>
      <c r="C124" s="36">
        <f>+HLOOKUP('CALCULADORA TIS Pesos H-2'!$E$4,Tablas!$B$1:$B$181,Flujos!J124+1,FALSE)</f>
        <v>0</v>
      </c>
      <c r="D124" s="76">
        <f t="shared" si="9"/>
        <v>0</v>
      </c>
      <c r="E124" s="37">
        <f t="shared" si="11"/>
        <v>0</v>
      </c>
      <c r="F124" s="37">
        <f>ROUND(D123*ROUND(((1+'CALCULADORA TIS Pesos H-2'!$C$14)^(1/12)-1),6),6)</f>
        <v>0</v>
      </c>
      <c r="G124" s="37">
        <f t="shared" si="12"/>
        <v>0</v>
      </c>
      <c r="H124" s="38">
        <f>IF($B124=0,0,G124/POWER(1+'CALCULADORA TIS Pesos H-2'!$F$11,Flujos!$B124/365))</f>
        <v>0</v>
      </c>
      <c r="I124" s="39">
        <f t="shared" si="10"/>
        <v>46952</v>
      </c>
      <c r="J124" s="40">
        <v>122</v>
      </c>
      <c r="K124" s="41">
        <f t="shared" si="13"/>
        <v>3711</v>
      </c>
      <c r="L124" s="42">
        <f t="shared" si="14"/>
        <v>1.0365620255470276E-06</v>
      </c>
      <c r="M124" s="43">
        <f t="shared" si="15"/>
        <v>0</v>
      </c>
      <c r="N124" s="43">
        <f t="shared" si="16"/>
        <v>6.096021272242069E-09</v>
      </c>
      <c r="O124" s="44">
        <f t="shared" si="17"/>
        <v>6.096021272242069E-09</v>
      </c>
    </row>
    <row r="125" spans="1:15" ht="12.75">
      <c r="A125" s="170">
        <v>46983</v>
      </c>
      <c r="B125" s="35">
        <f>IF(DIAS365('CALCULADORA TIS Pesos H-2'!$E$6,A125)&lt;0,0,DIAS365('CALCULADORA TIS Pesos H-2'!$E$6,A125))</f>
        <v>1733</v>
      </c>
      <c r="C125" s="36">
        <f>+HLOOKUP('CALCULADORA TIS Pesos H-2'!$E$4,Tablas!$B$1:$B$181,Flujos!J125+1,FALSE)</f>
        <v>0</v>
      </c>
      <c r="D125" s="76">
        <f t="shared" si="9"/>
        <v>0</v>
      </c>
      <c r="E125" s="37">
        <f t="shared" si="11"/>
        <v>0</v>
      </c>
      <c r="F125" s="37">
        <f>ROUND(D124*ROUND(((1+'CALCULADORA TIS Pesos H-2'!$C$14)^(1/12)-1),6),6)</f>
        <v>0</v>
      </c>
      <c r="G125" s="37">
        <f t="shared" si="12"/>
        <v>0</v>
      </c>
      <c r="H125" s="38">
        <f>IF($B125=0,0,G125/POWER(1+'CALCULADORA TIS Pesos H-2'!$F$11,Flujos!$B125/365))</f>
        <v>0</v>
      </c>
      <c r="I125" s="39">
        <f t="shared" si="10"/>
        <v>46983</v>
      </c>
      <c r="J125" s="40">
        <v>123</v>
      </c>
      <c r="K125" s="41">
        <f t="shared" si="13"/>
        <v>3742</v>
      </c>
      <c r="L125" s="42">
        <f t="shared" si="14"/>
        <v>1.0365620255470276E-06</v>
      </c>
      <c r="M125" s="43">
        <f t="shared" si="15"/>
        <v>0</v>
      </c>
      <c r="N125" s="43">
        <f t="shared" si="16"/>
        <v>6.096021272242069E-09</v>
      </c>
      <c r="O125" s="44">
        <f t="shared" si="17"/>
        <v>6.096021272242069E-09</v>
      </c>
    </row>
    <row r="126" spans="1:15" ht="12.75">
      <c r="A126" s="170">
        <v>47014</v>
      </c>
      <c r="B126" s="35">
        <f>IF(DIAS365('CALCULADORA TIS Pesos H-2'!$E$6,A126)&lt;0,0,DIAS365('CALCULADORA TIS Pesos H-2'!$E$6,A126))</f>
        <v>1764</v>
      </c>
      <c r="C126" s="36">
        <f>+HLOOKUP('CALCULADORA TIS Pesos H-2'!$E$4,Tablas!$B$1:$B$181,Flujos!J126+1,FALSE)</f>
        <v>0</v>
      </c>
      <c r="D126" s="76">
        <f t="shared" si="9"/>
        <v>0</v>
      </c>
      <c r="E126" s="37">
        <f t="shared" si="11"/>
        <v>0</v>
      </c>
      <c r="F126" s="37">
        <f>ROUND(D125*ROUND(((1+'CALCULADORA TIS Pesos H-2'!$C$14)^(1/12)-1),6),6)</f>
        <v>0</v>
      </c>
      <c r="G126" s="37">
        <f t="shared" si="12"/>
        <v>0</v>
      </c>
      <c r="H126" s="38">
        <f>IF($B126=0,0,G126/POWER(1+'CALCULADORA TIS Pesos H-2'!$F$11,Flujos!$B126/365))</f>
        <v>0</v>
      </c>
      <c r="I126" s="39">
        <f t="shared" si="10"/>
        <v>47014</v>
      </c>
      <c r="J126" s="40">
        <v>124</v>
      </c>
      <c r="K126" s="41">
        <f t="shared" si="13"/>
        <v>3773</v>
      </c>
      <c r="L126" s="42">
        <f t="shared" si="14"/>
        <v>1.0365620255470276E-06</v>
      </c>
      <c r="M126" s="43">
        <f t="shared" si="15"/>
        <v>0</v>
      </c>
      <c r="N126" s="43">
        <f t="shared" si="16"/>
        <v>6.096021272242069E-09</v>
      </c>
      <c r="O126" s="44">
        <f t="shared" si="17"/>
        <v>6.096021272242069E-09</v>
      </c>
    </row>
    <row r="127" spans="1:15" ht="12.75">
      <c r="A127" s="170">
        <v>47044</v>
      </c>
      <c r="B127" s="35">
        <f>IF(DIAS365('CALCULADORA TIS Pesos H-2'!$E$6,A127)&lt;0,0,DIAS365('CALCULADORA TIS Pesos H-2'!$E$6,A127))</f>
        <v>1794</v>
      </c>
      <c r="C127" s="36">
        <f>+HLOOKUP('CALCULADORA TIS Pesos H-2'!$E$4,Tablas!$B$1:$B$181,Flujos!J127+1,FALSE)</f>
        <v>0</v>
      </c>
      <c r="D127" s="76">
        <f t="shared" si="9"/>
        <v>0</v>
      </c>
      <c r="E127" s="37">
        <f t="shared" si="11"/>
        <v>0</v>
      </c>
      <c r="F127" s="37">
        <f>ROUND(D126*ROUND(((1+'CALCULADORA TIS Pesos H-2'!$C$14)^(1/12)-1),6),6)</f>
        <v>0</v>
      </c>
      <c r="G127" s="37">
        <f t="shared" si="12"/>
        <v>0</v>
      </c>
      <c r="H127" s="38">
        <f>IF($B127=0,0,G127/POWER(1+'CALCULADORA TIS Pesos H-2'!$F$11,Flujos!$B127/365))</f>
        <v>0</v>
      </c>
      <c r="I127" s="39">
        <f t="shared" si="10"/>
        <v>47044</v>
      </c>
      <c r="J127" s="40">
        <v>125</v>
      </c>
      <c r="K127" s="41">
        <f t="shared" si="13"/>
        <v>3803</v>
      </c>
      <c r="L127" s="42">
        <f t="shared" si="14"/>
        <v>1.0365620255470276E-06</v>
      </c>
      <c r="M127" s="43">
        <f t="shared" si="15"/>
        <v>0</v>
      </c>
      <c r="N127" s="43">
        <f t="shared" si="16"/>
        <v>6.096021272242069E-09</v>
      </c>
      <c r="O127" s="44">
        <f t="shared" si="17"/>
        <v>6.096021272242069E-09</v>
      </c>
    </row>
    <row r="128" spans="1:15" ht="12.75">
      <c r="A128" s="170">
        <v>47075</v>
      </c>
      <c r="B128" s="35">
        <f>IF(DIAS365('CALCULADORA TIS Pesos H-2'!$E$6,A128)&lt;0,0,DIAS365('CALCULADORA TIS Pesos H-2'!$E$6,A128))</f>
        <v>1825</v>
      </c>
      <c r="C128" s="36">
        <f>+HLOOKUP('CALCULADORA TIS Pesos H-2'!$E$4,Tablas!$B$1:$B$181,Flujos!J128+1,FALSE)</f>
        <v>0</v>
      </c>
      <c r="D128" s="76">
        <f t="shared" si="9"/>
        <v>0</v>
      </c>
      <c r="E128" s="37">
        <f t="shared" si="11"/>
        <v>0</v>
      </c>
      <c r="F128" s="37">
        <f>ROUND(D127*ROUND(((1+'CALCULADORA TIS Pesos H-2'!$C$14)^(1/12)-1),6),6)</f>
        <v>0</v>
      </c>
      <c r="G128" s="37">
        <f t="shared" si="12"/>
        <v>0</v>
      </c>
      <c r="H128" s="38">
        <f>IF($B128=0,0,G128/POWER(1+'CALCULADORA TIS Pesos H-2'!$F$11,Flujos!$B128/365))</f>
        <v>0</v>
      </c>
      <c r="I128" s="39">
        <f t="shared" si="10"/>
        <v>47075</v>
      </c>
      <c r="J128" s="40">
        <v>126</v>
      </c>
      <c r="K128" s="41">
        <f t="shared" si="13"/>
        <v>3834</v>
      </c>
      <c r="L128" s="42">
        <f t="shared" si="14"/>
        <v>1.0365620255470276E-06</v>
      </c>
      <c r="M128" s="43">
        <f t="shared" si="15"/>
        <v>0</v>
      </c>
      <c r="N128" s="43">
        <f t="shared" si="16"/>
        <v>6.096021272242069E-09</v>
      </c>
      <c r="O128" s="44">
        <f t="shared" si="17"/>
        <v>6.096021272242069E-09</v>
      </c>
    </row>
    <row r="129" spans="1:15" ht="12.75">
      <c r="A129" s="170">
        <v>47105</v>
      </c>
      <c r="B129" s="35">
        <f>IF(DIAS365('CALCULADORA TIS Pesos H-2'!$E$6,A129)&lt;0,0,DIAS365('CALCULADORA TIS Pesos H-2'!$E$6,A129))</f>
        <v>1855</v>
      </c>
      <c r="C129" s="36">
        <f>+HLOOKUP('CALCULADORA TIS Pesos H-2'!$E$4,Tablas!$B$1:$B$181,Flujos!J129+1,FALSE)</f>
        <v>0</v>
      </c>
      <c r="D129" s="76">
        <f t="shared" si="9"/>
        <v>0</v>
      </c>
      <c r="E129" s="37">
        <f t="shared" si="11"/>
        <v>0</v>
      </c>
      <c r="F129" s="37">
        <f>ROUND(D128*ROUND(((1+'CALCULADORA TIS Pesos H-2'!$C$14)^(1/12)-1),6),6)</f>
        <v>0</v>
      </c>
      <c r="G129" s="37">
        <f t="shared" si="12"/>
        <v>0</v>
      </c>
      <c r="H129" s="38">
        <f>IF($B129=0,0,G129/POWER(1+'CALCULADORA TIS Pesos H-2'!$F$11,Flujos!$B129/365))</f>
        <v>0</v>
      </c>
      <c r="I129" s="39">
        <f t="shared" si="10"/>
        <v>47105</v>
      </c>
      <c r="J129" s="40">
        <v>127</v>
      </c>
      <c r="K129" s="41">
        <f t="shared" si="13"/>
        <v>3864</v>
      </c>
      <c r="L129" s="42">
        <f t="shared" si="14"/>
        <v>1.0365620255470276E-06</v>
      </c>
      <c r="M129" s="43">
        <f t="shared" si="15"/>
        <v>0</v>
      </c>
      <c r="N129" s="43">
        <f t="shared" si="16"/>
        <v>6.096021272242069E-09</v>
      </c>
      <c r="O129" s="44">
        <f t="shared" si="17"/>
        <v>6.096021272242069E-09</v>
      </c>
    </row>
    <row r="130" spans="1:15" ht="12.75">
      <c r="A130" s="170">
        <v>47136</v>
      </c>
      <c r="B130" s="35">
        <f>IF(DIAS365('CALCULADORA TIS Pesos H-2'!$E$6,A130)&lt;0,0,DIAS365('CALCULADORA TIS Pesos H-2'!$E$6,A130))</f>
        <v>1886</v>
      </c>
      <c r="C130" s="36">
        <f>+HLOOKUP('CALCULADORA TIS Pesos H-2'!$E$4,Tablas!$B$1:$B$181,Flujos!J130+1,FALSE)</f>
        <v>0</v>
      </c>
      <c r="D130" s="76">
        <f t="shared" si="9"/>
        <v>0</v>
      </c>
      <c r="E130" s="37">
        <f t="shared" si="11"/>
        <v>0</v>
      </c>
      <c r="F130" s="37">
        <f>ROUND(D129*ROUND(((1+'CALCULADORA TIS Pesos H-2'!$C$14)^(1/12)-1),6),6)</f>
        <v>0</v>
      </c>
      <c r="G130" s="37">
        <f t="shared" si="12"/>
        <v>0</v>
      </c>
      <c r="H130" s="38">
        <f>IF($B130=0,0,G130/POWER(1+'CALCULADORA TIS Pesos H-2'!$F$11,Flujos!$B130/365))</f>
        <v>0</v>
      </c>
      <c r="I130" s="39">
        <f t="shared" si="10"/>
        <v>47136</v>
      </c>
      <c r="J130" s="40">
        <v>128</v>
      </c>
      <c r="K130" s="41">
        <f t="shared" si="13"/>
        <v>3895</v>
      </c>
      <c r="L130" s="42">
        <f t="shared" si="14"/>
        <v>1.0365620255470276E-06</v>
      </c>
      <c r="M130" s="43">
        <f t="shared" si="15"/>
        <v>0</v>
      </c>
      <c r="N130" s="43">
        <f t="shared" si="16"/>
        <v>6.096021272242069E-09</v>
      </c>
      <c r="O130" s="44">
        <f t="shared" si="17"/>
        <v>6.096021272242069E-09</v>
      </c>
    </row>
    <row r="131" spans="1:15" ht="12.75">
      <c r="A131" s="170">
        <v>47167</v>
      </c>
      <c r="B131" s="35">
        <f>IF(DIAS365('CALCULADORA TIS Pesos H-2'!$E$6,A131)&lt;0,0,DIAS365('CALCULADORA TIS Pesos H-2'!$E$6,A131))</f>
        <v>1917</v>
      </c>
      <c r="C131" s="36">
        <f>+HLOOKUP('CALCULADORA TIS Pesos H-2'!$E$4,Tablas!$B$1:$B$181,Flujos!J131+1,FALSE)</f>
        <v>0</v>
      </c>
      <c r="D131" s="76">
        <f aca="true" t="shared" si="18" ref="D131:D182">IF(+ROUND(D130-E131,15)&lt;0.000001,0,ROUND(D130-E131,15))</f>
        <v>0</v>
      </c>
      <c r="E131" s="37">
        <f t="shared" si="11"/>
        <v>0</v>
      </c>
      <c r="F131" s="37">
        <f>ROUND(D130*ROUND(((1+'CALCULADORA TIS Pesos H-2'!$C$14)^(1/12)-1),6),6)</f>
        <v>0</v>
      </c>
      <c r="G131" s="37">
        <f t="shared" si="12"/>
        <v>0</v>
      </c>
      <c r="H131" s="38">
        <f>IF($B131=0,0,G131/POWER(1+'CALCULADORA TIS Pesos H-2'!$F$11,Flujos!$B131/365))</f>
        <v>0</v>
      </c>
      <c r="I131" s="39">
        <f aca="true" t="shared" si="19" ref="I131:I182">+A131</f>
        <v>47167</v>
      </c>
      <c r="J131" s="40">
        <v>129</v>
      </c>
      <c r="K131" s="41">
        <f t="shared" si="13"/>
        <v>3926</v>
      </c>
      <c r="L131" s="42">
        <f t="shared" si="14"/>
        <v>1.0365620255470276E-06</v>
      </c>
      <c r="M131" s="43">
        <f t="shared" si="15"/>
        <v>0</v>
      </c>
      <c r="N131" s="43">
        <f t="shared" si="16"/>
        <v>6.096021272242069E-09</v>
      </c>
      <c r="O131" s="44">
        <f t="shared" si="17"/>
        <v>6.096021272242069E-09</v>
      </c>
    </row>
    <row r="132" spans="1:15" ht="12.75">
      <c r="A132" s="170">
        <v>47195</v>
      </c>
      <c r="B132" s="35">
        <f>IF(DIAS365('CALCULADORA TIS Pesos H-2'!$E$6,A132)&lt;0,0,DIAS365('CALCULADORA TIS Pesos H-2'!$E$6,A132))</f>
        <v>1945</v>
      </c>
      <c r="C132" s="36">
        <f>+HLOOKUP('CALCULADORA TIS Pesos H-2'!$E$4,Tablas!$B$1:$B$181,Flujos!J132+1,FALSE)</f>
        <v>0</v>
      </c>
      <c r="D132" s="76">
        <f t="shared" si="18"/>
        <v>0</v>
      </c>
      <c r="E132" s="37">
        <f aca="true" t="shared" si="20" ref="E132:E182">ROUND(C132*$D$2,6)</f>
        <v>0</v>
      </c>
      <c r="F132" s="37">
        <f>ROUND(D131*ROUND(((1+'CALCULADORA TIS Pesos H-2'!$C$14)^(1/12)-1),6),6)</f>
        <v>0</v>
      </c>
      <c r="G132" s="37">
        <f aca="true" t="shared" si="21" ref="G132:G182">F132+E132</f>
        <v>0</v>
      </c>
      <c r="H132" s="38">
        <f>IF($B132=0,0,G132/POWER(1+'CALCULADORA TIS Pesos H-2'!$F$11,Flujos!$B132/365))</f>
        <v>0</v>
      </c>
      <c r="I132" s="39">
        <f t="shared" si="19"/>
        <v>47195</v>
      </c>
      <c r="J132" s="40">
        <v>130</v>
      </c>
      <c r="K132" s="41">
        <f aca="true" t="shared" si="22" ref="K132:K182">+DIAS365($A$2,A132)</f>
        <v>3954</v>
      </c>
      <c r="L132" s="42">
        <f aca="true" t="shared" si="23" ref="L132:L182">IF(+(L131-M132)&lt;0,0,(L131-M132))</f>
        <v>1.0365620255470276E-06</v>
      </c>
      <c r="M132" s="43">
        <f aca="true" t="shared" si="24" ref="M132:M182">+$L$2*C132</f>
        <v>0</v>
      </c>
      <c r="N132" s="43">
        <f aca="true" t="shared" si="25" ref="N132:N182">+L131*$F$3%</f>
        <v>6.096021272242069E-09</v>
      </c>
      <c r="O132" s="44">
        <f aca="true" t="shared" si="26" ref="O132:O182">+N132+M132</f>
        <v>6.096021272242069E-09</v>
      </c>
    </row>
    <row r="133" spans="1:15" ht="12.75">
      <c r="A133" s="170">
        <v>47226</v>
      </c>
      <c r="B133" s="35">
        <f>IF(DIAS365('CALCULADORA TIS Pesos H-2'!$E$6,A133)&lt;0,0,DIAS365('CALCULADORA TIS Pesos H-2'!$E$6,A133))</f>
        <v>1976</v>
      </c>
      <c r="C133" s="36">
        <f>+HLOOKUP('CALCULADORA TIS Pesos H-2'!$E$4,Tablas!$B$1:$B$181,Flujos!J133+1,FALSE)</f>
        <v>0</v>
      </c>
      <c r="D133" s="76">
        <f t="shared" si="18"/>
        <v>0</v>
      </c>
      <c r="E133" s="37">
        <f t="shared" si="20"/>
        <v>0</v>
      </c>
      <c r="F133" s="37">
        <f>ROUND(D132*ROUND(((1+'CALCULADORA TIS Pesos H-2'!$C$14)^(1/12)-1),6),6)</f>
        <v>0</v>
      </c>
      <c r="G133" s="37">
        <f t="shared" si="21"/>
        <v>0</v>
      </c>
      <c r="H133" s="38">
        <f>IF($B133=0,0,G133/POWER(1+'CALCULADORA TIS Pesos H-2'!$F$11,Flujos!$B133/365))</f>
        <v>0</v>
      </c>
      <c r="I133" s="39">
        <f t="shared" si="19"/>
        <v>47226</v>
      </c>
      <c r="J133" s="40">
        <v>131</v>
      </c>
      <c r="K133" s="41">
        <f t="shared" si="22"/>
        <v>3985</v>
      </c>
      <c r="L133" s="42">
        <f t="shared" si="23"/>
        <v>1.0365620255470276E-06</v>
      </c>
      <c r="M133" s="43">
        <f t="shared" si="24"/>
        <v>0</v>
      </c>
      <c r="N133" s="43">
        <f t="shared" si="25"/>
        <v>6.096021272242069E-09</v>
      </c>
      <c r="O133" s="44">
        <f t="shared" si="26"/>
        <v>6.096021272242069E-09</v>
      </c>
    </row>
    <row r="134" spans="1:15" ht="12.75">
      <c r="A134" s="170">
        <v>47256</v>
      </c>
      <c r="B134" s="35">
        <f>IF(DIAS365('CALCULADORA TIS Pesos H-2'!$E$6,A134)&lt;0,0,DIAS365('CALCULADORA TIS Pesos H-2'!$E$6,A134))</f>
        <v>2006</v>
      </c>
      <c r="C134" s="36">
        <f>+HLOOKUP('CALCULADORA TIS Pesos H-2'!$E$4,Tablas!$B$1:$B$181,Flujos!J134+1,FALSE)</f>
        <v>0</v>
      </c>
      <c r="D134" s="76">
        <f t="shared" si="18"/>
        <v>0</v>
      </c>
      <c r="E134" s="37">
        <f t="shared" si="20"/>
        <v>0</v>
      </c>
      <c r="F134" s="37">
        <f>ROUND(D133*ROUND(((1+'CALCULADORA TIS Pesos H-2'!$C$14)^(1/12)-1),6),6)</f>
        <v>0</v>
      </c>
      <c r="G134" s="37">
        <f t="shared" si="21"/>
        <v>0</v>
      </c>
      <c r="H134" s="38">
        <f>IF($B134=0,0,G134/POWER(1+'CALCULADORA TIS Pesos H-2'!$F$11,Flujos!$B134/365))</f>
        <v>0</v>
      </c>
      <c r="I134" s="39">
        <f t="shared" si="19"/>
        <v>47256</v>
      </c>
      <c r="J134" s="40">
        <v>132</v>
      </c>
      <c r="K134" s="41">
        <f t="shared" si="22"/>
        <v>4015</v>
      </c>
      <c r="L134" s="42">
        <f t="shared" si="23"/>
        <v>1.0365620255470276E-06</v>
      </c>
      <c r="M134" s="43">
        <f t="shared" si="24"/>
        <v>0</v>
      </c>
      <c r="N134" s="43">
        <f t="shared" si="25"/>
        <v>6.096021272242069E-09</v>
      </c>
      <c r="O134" s="44">
        <f t="shared" si="26"/>
        <v>6.096021272242069E-09</v>
      </c>
    </row>
    <row r="135" spans="1:15" ht="12.75">
      <c r="A135" s="170">
        <v>47287</v>
      </c>
      <c r="B135" s="35">
        <f>IF(DIAS365('CALCULADORA TIS Pesos H-2'!$E$6,A135)&lt;0,0,DIAS365('CALCULADORA TIS Pesos H-2'!$E$6,A135))</f>
        <v>2037</v>
      </c>
      <c r="C135" s="36">
        <f>+HLOOKUP('CALCULADORA TIS Pesos H-2'!$E$4,Tablas!$B$1:$B$181,Flujos!J135+1,FALSE)</f>
        <v>0</v>
      </c>
      <c r="D135" s="76">
        <f t="shared" si="18"/>
        <v>0</v>
      </c>
      <c r="E135" s="37">
        <f t="shared" si="20"/>
        <v>0</v>
      </c>
      <c r="F135" s="37">
        <f>ROUND(D134*ROUND(((1+'CALCULADORA TIS Pesos H-2'!$C$14)^(1/12)-1),6),6)</f>
        <v>0</v>
      </c>
      <c r="G135" s="37">
        <f t="shared" si="21"/>
        <v>0</v>
      </c>
      <c r="H135" s="38">
        <f>IF($B135=0,0,G135/POWER(1+'CALCULADORA TIS Pesos H-2'!$F$11,Flujos!$B135/365))</f>
        <v>0</v>
      </c>
      <c r="I135" s="39">
        <f t="shared" si="19"/>
        <v>47287</v>
      </c>
      <c r="J135" s="40">
        <v>133</v>
      </c>
      <c r="K135" s="41">
        <f t="shared" si="22"/>
        <v>4046</v>
      </c>
      <c r="L135" s="42">
        <f t="shared" si="23"/>
        <v>1.0365620255470276E-06</v>
      </c>
      <c r="M135" s="43">
        <f t="shared" si="24"/>
        <v>0</v>
      </c>
      <c r="N135" s="43">
        <f t="shared" si="25"/>
        <v>6.096021272242069E-09</v>
      </c>
      <c r="O135" s="44">
        <f t="shared" si="26"/>
        <v>6.096021272242069E-09</v>
      </c>
    </row>
    <row r="136" spans="1:15" ht="12.75">
      <c r="A136" s="170">
        <v>47317</v>
      </c>
      <c r="B136" s="35">
        <f>IF(DIAS365('CALCULADORA TIS Pesos H-2'!$E$6,A136)&lt;0,0,DIAS365('CALCULADORA TIS Pesos H-2'!$E$6,A136))</f>
        <v>2067</v>
      </c>
      <c r="C136" s="36">
        <f>+HLOOKUP('CALCULADORA TIS Pesos H-2'!$E$4,Tablas!$B$1:$B$181,Flujos!J136+1,FALSE)</f>
        <v>0</v>
      </c>
      <c r="D136" s="76">
        <f t="shared" si="18"/>
        <v>0</v>
      </c>
      <c r="E136" s="37">
        <f t="shared" si="20"/>
        <v>0</v>
      </c>
      <c r="F136" s="37">
        <f>ROUND(D135*ROUND(((1+'CALCULADORA TIS Pesos H-2'!$C$14)^(1/12)-1),6),6)</f>
        <v>0</v>
      </c>
      <c r="G136" s="37">
        <f t="shared" si="21"/>
        <v>0</v>
      </c>
      <c r="H136" s="38">
        <f>IF($B136=0,0,G136/POWER(1+'CALCULADORA TIS Pesos H-2'!$F$11,Flujos!$B136/365))</f>
        <v>0</v>
      </c>
      <c r="I136" s="39">
        <f t="shared" si="19"/>
        <v>47317</v>
      </c>
      <c r="J136" s="40">
        <v>134</v>
      </c>
      <c r="K136" s="41">
        <f t="shared" si="22"/>
        <v>4076</v>
      </c>
      <c r="L136" s="42">
        <f t="shared" si="23"/>
        <v>1.0365620255470276E-06</v>
      </c>
      <c r="M136" s="43">
        <f t="shared" si="24"/>
        <v>0</v>
      </c>
      <c r="N136" s="43">
        <f t="shared" si="25"/>
        <v>6.096021272242069E-09</v>
      </c>
      <c r="O136" s="44">
        <f t="shared" si="26"/>
        <v>6.096021272242069E-09</v>
      </c>
    </row>
    <row r="137" spans="1:15" ht="12.75">
      <c r="A137" s="170">
        <v>47348</v>
      </c>
      <c r="B137" s="35">
        <f>IF(DIAS365('CALCULADORA TIS Pesos H-2'!$E$6,A137)&lt;0,0,DIAS365('CALCULADORA TIS Pesos H-2'!$E$6,A137))</f>
        <v>2098</v>
      </c>
      <c r="C137" s="36">
        <f>+HLOOKUP('CALCULADORA TIS Pesos H-2'!$E$4,Tablas!$B$1:$B$181,Flujos!J137+1,FALSE)</f>
        <v>0</v>
      </c>
      <c r="D137" s="76">
        <f t="shared" si="18"/>
        <v>0</v>
      </c>
      <c r="E137" s="37">
        <f t="shared" si="20"/>
        <v>0</v>
      </c>
      <c r="F137" s="37">
        <f>ROUND(D136*ROUND(((1+'CALCULADORA TIS Pesos H-2'!$C$14)^(1/12)-1),6),6)</f>
        <v>0</v>
      </c>
      <c r="G137" s="37">
        <f t="shared" si="21"/>
        <v>0</v>
      </c>
      <c r="H137" s="38">
        <f>IF($B137=0,0,G137/POWER(1+'CALCULADORA TIS Pesos H-2'!$F$11,Flujos!$B137/365))</f>
        <v>0</v>
      </c>
      <c r="I137" s="39">
        <f t="shared" si="19"/>
        <v>47348</v>
      </c>
      <c r="J137" s="40">
        <v>135</v>
      </c>
      <c r="K137" s="41">
        <f t="shared" si="22"/>
        <v>4107</v>
      </c>
      <c r="L137" s="42">
        <f t="shared" si="23"/>
        <v>1.0365620255470276E-06</v>
      </c>
      <c r="M137" s="43">
        <f t="shared" si="24"/>
        <v>0</v>
      </c>
      <c r="N137" s="43">
        <f t="shared" si="25"/>
        <v>6.096021272242069E-09</v>
      </c>
      <c r="O137" s="44">
        <f t="shared" si="26"/>
        <v>6.096021272242069E-09</v>
      </c>
    </row>
    <row r="138" spans="1:15" ht="12.75">
      <c r="A138" s="170">
        <v>47379</v>
      </c>
      <c r="B138" s="35">
        <f>IF(DIAS365('CALCULADORA TIS Pesos H-2'!$E$6,A138)&lt;0,0,DIAS365('CALCULADORA TIS Pesos H-2'!$E$6,A138))</f>
        <v>2129</v>
      </c>
      <c r="C138" s="36">
        <f>+HLOOKUP('CALCULADORA TIS Pesos H-2'!$E$4,Tablas!$B$1:$B$181,Flujos!J138+1,FALSE)</f>
        <v>0</v>
      </c>
      <c r="D138" s="76">
        <f t="shared" si="18"/>
        <v>0</v>
      </c>
      <c r="E138" s="37">
        <f t="shared" si="20"/>
        <v>0</v>
      </c>
      <c r="F138" s="37">
        <f>ROUND(D137*ROUND(((1+'CALCULADORA TIS Pesos H-2'!$C$14)^(1/12)-1),6),6)</f>
        <v>0</v>
      </c>
      <c r="G138" s="37">
        <f t="shared" si="21"/>
        <v>0</v>
      </c>
      <c r="H138" s="38">
        <f>IF($B138=0,0,G138/POWER(1+'CALCULADORA TIS Pesos H-2'!$F$11,Flujos!$B138/365))</f>
        <v>0</v>
      </c>
      <c r="I138" s="39">
        <f t="shared" si="19"/>
        <v>47379</v>
      </c>
      <c r="J138" s="40">
        <v>136</v>
      </c>
      <c r="K138" s="41">
        <f t="shared" si="22"/>
        <v>4138</v>
      </c>
      <c r="L138" s="42">
        <f t="shared" si="23"/>
        <v>1.0365620255470276E-06</v>
      </c>
      <c r="M138" s="43">
        <f t="shared" si="24"/>
        <v>0</v>
      </c>
      <c r="N138" s="43">
        <f t="shared" si="25"/>
        <v>6.096021272242069E-09</v>
      </c>
      <c r="O138" s="44">
        <f t="shared" si="26"/>
        <v>6.096021272242069E-09</v>
      </c>
    </row>
    <row r="139" spans="1:15" ht="12.75">
      <c r="A139" s="170">
        <v>47409</v>
      </c>
      <c r="B139" s="35">
        <f>IF(DIAS365('CALCULADORA TIS Pesos H-2'!$E$6,A139)&lt;0,0,DIAS365('CALCULADORA TIS Pesos H-2'!$E$6,A139))</f>
        <v>2159</v>
      </c>
      <c r="C139" s="36">
        <f>+HLOOKUP('CALCULADORA TIS Pesos H-2'!$E$4,Tablas!$B$1:$B$181,Flujos!J139+1,FALSE)</f>
        <v>0</v>
      </c>
      <c r="D139" s="76">
        <f t="shared" si="18"/>
        <v>0</v>
      </c>
      <c r="E139" s="37">
        <f t="shared" si="20"/>
        <v>0</v>
      </c>
      <c r="F139" s="37">
        <f>ROUND(D138*ROUND(((1+'CALCULADORA TIS Pesos H-2'!$C$14)^(1/12)-1),6),6)</f>
        <v>0</v>
      </c>
      <c r="G139" s="37">
        <f t="shared" si="21"/>
        <v>0</v>
      </c>
      <c r="H139" s="38">
        <f>IF($B139=0,0,G139/POWER(1+'CALCULADORA TIS Pesos H-2'!$F$11,Flujos!$B139/365))</f>
        <v>0</v>
      </c>
      <c r="I139" s="39">
        <f t="shared" si="19"/>
        <v>47409</v>
      </c>
      <c r="J139" s="40">
        <v>137</v>
      </c>
      <c r="K139" s="41">
        <f t="shared" si="22"/>
        <v>4168</v>
      </c>
      <c r="L139" s="42">
        <f t="shared" si="23"/>
        <v>1.0365620255470276E-06</v>
      </c>
      <c r="M139" s="43">
        <f t="shared" si="24"/>
        <v>0</v>
      </c>
      <c r="N139" s="43">
        <f t="shared" si="25"/>
        <v>6.096021272242069E-09</v>
      </c>
      <c r="O139" s="44">
        <f t="shared" si="26"/>
        <v>6.096021272242069E-09</v>
      </c>
    </row>
    <row r="140" spans="1:15" ht="12.75">
      <c r="A140" s="170">
        <v>47440</v>
      </c>
      <c r="B140" s="35">
        <f>IF(DIAS365('CALCULADORA TIS Pesos H-2'!$E$6,A140)&lt;0,0,DIAS365('CALCULADORA TIS Pesos H-2'!$E$6,A140))</f>
        <v>2190</v>
      </c>
      <c r="C140" s="36">
        <f>+HLOOKUP('CALCULADORA TIS Pesos H-2'!$E$4,Tablas!$B$1:$B$181,Flujos!J140+1,FALSE)</f>
        <v>0</v>
      </c>
      <c r="D140" s="76">
        <f t="shared" si="18"/>
        <v>0</v>
      </c>
      <c r="E140" s="37">
        <f t="shared" si="20"/>
        <v>0</v>
      </c>
      <c r="F140" s="37">
        <f>ROUND(D139*ROUND(((1+'CALCULADORA TIS Pesos H-2'!$C$14)^(1/12)-1),6),6)</f>
        <v>0</v>
      </c>
      <c r="G140" s="37">
        <f t="shared" si="21"/>
        <v>0</v>
      </c>
      <c r="H140" s="38">
        <f>IF($B140=0,0,G140/POWER(1+'CALCULADORA TIS Pesos H-2'!$F$11,Flujos!$B140/365))</f>
        <v>0</v>
      </c>
      <c r="I140" s="39">
        <f t="shared" si="19"/>
        <v>47440</v>
      </c>
      <c r="J140" s="40">
        <v>138</v>
      </c>
      <c r="K140" s="41">
        <f t="shared" si="22"/>
        <v>4199</v>
      </c>
      <c r="L140" s="42">
        <f t="shared" si="23"/>
        <v>1.0365620255470276E-06</v>
      </c>
      <c r="M140" s="43">
        <f t="shared" si="24"/>
        <v>0</v>
      </c>
      <c r="N140" s="43">
        <f t="shared" si="25"/>
        <v>6.096021272242069E-09</v>
      </c>
      <c r="O140" s="44">
        <f t="shared" si="26"/>
        <v>6.096021272242069E-09</v>
      </c>
    </row>
    <row r="141" spans="1:15" ht="12.75">
      <c r="A141" s="170">
        <v>47470</v>
      </c>
      <c r="B141" s="35">
        <f>IF(DIAS365('CALCULADORA TIS Pesos H-2'!$E$6,A141)&lt;0,0,DIAS365('CALCULADORA TIS Pesos H-2'!$E$6,A141))</f>
        <v>2220</v>
      </c>
      <c r="C141" s="36">
        <f>+HLOOKUP('CALCULADORA TIS Pesos H-2'!$E$4,Tablas!$B$1:$B$181,Flujos!J141+1,FALSE)</f>
        <v>0</v>
      </c>
      <c r="D141" s="76">
        <f t="shared" si="18"/>
        <v>0</v>
      </c>
      <c r="E141" s="37">
        <f t="shared" si="20"/>
        <v>0</v>
      </c>
      <c r="F141" s="37">
        <f>ROUND(D140*ROUND(((1+'CALCULADORA TIS Pesos H-2'!$C$14)^(1/12)-1),6),6)</f>
        <v>0</v>
      </c>
      <c r="G141" s="37">
        <f t="shared" si="21"/>
        <v>0</v>
      </c>
      <c r="H141" s="38">
        <f>IF($B141=0,0,G141/POWER(1+'CALCULADORA TIS Pesos H-2'!$F$11,Flujos!$B141/365))</f>
        <v>0</v>
      </c>
      <c r="I141" s="39">
        <f t="shared" si="19"/>
        <v>47470</v>
      </c>
      <c r="J141" s="40">
        <v>139</v>
      </c>
      <c r="K141" s="41">
        <f t="shared" si="22"/>
        <v>4229</v>
      </c>
      <c r="L141" s="42">
        <f t="shared" si="23"/>
        <v>1.0365620255470276E-06</v>
      </c>
      <c r="M141" s="43">
        <f t="shared" si="24"/>
        <v>0</v>
      </c>
      <c r="N141" s="43">
        <f t="shared" si="25"/>
        <v>6.096021272242069E-09</v>
      </c>
      <c r="O141" s="44">
        <f t="shared" si="26"/>
        <v>6.096021272242069E-09</v>
      </c>
    </row>
    <row r="142" spans="1:15" ht="12.75">
      <c r="A142" s="170">
        <v>47501</v>
      </c>
      <c r="B142" s="35">
        <f>IF(DIAS365('CALCULADORA TIS Pesos H-2'!$E$6,A142)&lt;0,0,DIAS365('CALCULADORA TIS Pesos H-2'!$E$6,A142))</f>
        <v>2251</v>
      </c>
      <c r="C142" s="36">
        <f>+HLOOKUP('CALCULADORA TIS Pesos H-2'!$E$4,Tablas!$B$1:$B$181,Flujos!J142+1,FALSE)</f>
        <v>0</v>
      </c>
      <c r="D142" s="76">
        <f t="shared" si="18"/>
        <v>0</v>
      </c>
      <c r="E142" s="37">
        <f t="shared" si="20"/>
        <v>0</v>
      </c>
      <c r="F142" s="37">
        <f>ROUND(D141*ROUND(((1+'CALCULADORA TIS Pesos H-2'!$C$14)^(1/12)-1),6),6)</f>
        <v>0</v>
      </c>
      <c r="G142" s="37">
        <f t="shared" si="21"/>
        <v>0</v>
      </c>
      <c r="H142" s="38">
        <f>IF($B142=0,0,G142/POWER(1+'CALCULADORA TIS Pesos H-2'!$F$11,Flujos!$B142/365))</f>
        <v>0</v>
      </c>
      <c r="I142" s="39">
        <f t="shared" si="19"/>
        <v>47501</v>
      </c>
      <c r="J142" s="40">
        <v>140</v>
      </c>
      <c r="K142" s="41">
        <f t="shared" si="22"/>
        <v>4260</v>
      </c>
      <c r="L142" s="42">
        <f t="shared" si="23"/>
        <v>1.0365620255470276E-06</v>
      </c>
      <c r="M142" s="43">
        <f t="shared" si="24"/>
        <v>0</v>
      </c>
      <c r="N142" s="43">
        <f t="shared" si="25"/>
        <v>6.096021272242069E-09</v>
      </c>
      <c r="O142" s="44">
        <f t="shared" si="26"/>
        <v>6.096021272242069E-09</v>
      </c>
    </row>
    <row r="143" spans="1:15" ht="12.75">
      <c r="A143" s="170">
        <v>47532</v>
      </c>
      <c r="B143" s="35">
        <f>IF(DIAS365('CALCULADORA TIS Pesos H-2'!$E$6,A143)&lt;0,0,DIAS365('CALCULADORA TIS Pesos H-2'!$E$6,A143))</f>
        <v>2282</v>
      </c>
      <c r="C143" s="36">
        <f>+HLOOKUP('CALCULADORA TIS Pesos H-2'!$E$4,Tablas!$B$1:$B$181,Flujos!J143+1,FALSE)</f>
        <v>0</v>
      </c>
      <c r="D143" s="76">
        <f t="shared" si="18"/>
        <v>0</v>
      </c>
      <c r="E143" s="37">
        <f t="shared" si="20"/>
        <v>0</v>
      </c>
      <c r="F143" s="37">
        <f>ROUND(D142*ROUND(((1+'CALCULADORA TIS Pesos H-2'!$C$14)^(1/12)-1),6),6)</f>
        <v>0</v>
      </c>
      <c r="G143" s="37">
        <f t="shared" si="21"/>
        <v>0</v>
      </c>
      <c r="H143" s="38">
        <f>IF($B143=0,0,G143/POWER(1+'CALCULADORA TIS Pesos H-2'!$F$11,Flujos!$B143/365))</f>
        <v>0</v>
      </c>
      <c r="I143" s="39">
        <f t="shared" si="19"/>
        <v>47532</v>
      </c>
      <c r="J143" s="40">
        <v>141</v>
      </c>
      <c r="K143" s="41">
        <f t="shared" si="22"/>
        <v>4291</v>
      </c>
      <c r="L143" s="42">
        <f t="shared" si="23"/>
        <v>1.0365620255470276E-06</v>
      </c>
      <c r="M143" s="43">
        <f t="shared" si="24"/>
        <v>0</v>
      </c>
      <c r="N143" s="43">
        <f t="shared" si="25"/>
        <v>6.096021272242069E-09</v>
      </c>
      <c r="O143" s="44">
        <f t="shared" si="26"/>
        <v>6.096021272242069E-09</v>
      </c>
    </row>
    <row r="144" spans="1:15" ht="12.75">
      <c r="A144" s="170">
        <v>47560</v>
      </c>
      <c r="B144" s="35">
        <f>IF(DIAS365('CALCULADORA TIS Pesos H-2'!$E$6,A144)&lt;0,0,DIAS365('CALCULADORA TIS Pesos H-2'!$E$6,A144))</f>
        <v>2310</v>
      </c>
      <c r="C144" s="36">
        <f>+HLOOKUP('CALCULADORA TIS Pesos H-2'!$E$4,Tablas!$B$1:$B$181,Flujos!J144+1,FALSE)</f>
        <v>0</v>
      </c>
      <c r="D144" s="76">
        <f t="shared" si="18"/>
        <v>0</v>
      </c>
      <c r="E144" s="37">
        <f t="shared" si="20"/>
        <v>0</v>
      </c>
      <c r="F144" s="37">
        <f>ROUND(D143*ROUND(((1+'CALCULADORA TIS Pesos H-2'!$C$14)^(1/12)-1),6),6)</f>
        <v>0</v>
      </c>
      <c r="G144" s="37">
        <f t="shared" si="21"/>
        <v>0</v>
      </c>
      <c r="H144" s="38">
        <f>IF($B144=0,0,G144/POWER(1+'CALCULADORA TIS Pesos H-2'!$F$11,Flujos!$B144/365))</f>
        <v>0</v>
      </c>
      <c r="I144" s="39">
        <f t="shared" si="19"/>
        <v>47560</v>
      </c>
      <c r="J144" s="40">
        <v>142</v>
      </c>
      <c r="K144" s="41">
        <f t="shared" si="22"/>
        <v>4319</v>
      </c>
      <c r="L144" s="42">
        <f t="shared" si="23"/>
        <v>1.0365620255470276E-06</v>
      </c>
      <c r="M144" s="43">
        <f t="shared" si="24"/>
        <v>0</v>
      </c>
      <c r="N144" s="43">
        <f t="shared" si="25"/>
        <v>6.096021272242069E-09</v>
      </c>
      <c r="O144" s="44">
        <f t="shared" si="26"/>
        <v>6.096021272242069E-09</v>
      </c>
    </row>
    <row r="145" spans="1:15" ht="12.75">
      <c r="A145" s="170">
        <v>47591</v>
      </c>
      <c r="B145" s="35">
        <f>IF(DIAS365('CALCULADORA TIS Pesos H-2'!$E$6,A145)&lt;0,0,DIAS365('CALCULADORA TIS Pesos H-2'!$E$6,A145))</f>
        <v>2341</v>
      </c>
      <c r="C145" s="36">
        <f>+HLOOKUP('CALCULADORA TIS Pesos H-2'!$E$4,Tablas!$B$1:$B$181,Flujos!J145+1,FALSE)</f>
        <v>0</v>
      </c>
      <c r="D145" s="76">
        <f t="shared" si="18"/>
        <v>0</v>
      </c>
      <c r="E145" s="37">
        <f t="shared" si="20"/>
        <v>0</v>
      </c>
      <c r="F145" s="37">
        <f>ROUND(D144*ROUND(((1+'CALCULADORA TIS Pesos H-2'!$C$14)^(1/12)-1),6),6)</f>
        <v>0</v>
      </c>
      <c r="G145" s="37">
        <f t="shared" si="21"/>
        <v>0</v>
      </c>
      <c r="H145" s="38">
        <f>IF($B145=0,0,G145/POWER(1+'CALCULADORA TIS Pesos H-2'!$F$11,Flujos!$B145/365))</f>
        <v>0</v>
      </c>
      <c r="I145" s="39">
        <f t="shared" si="19"/>
        <v>47591</v>
      </c>
      <c r="J145" s="40">
        <v>143</v>
      </c>
      <c r="K145" s="41">
        <f t="shared" si="22"/>
        <v>4350</v>
      </c>
      <c r="L145" s="42">
        <f t="shared" si="23"/>
        <v>1.0365620255470276E-06</v>
      </c>
      <c r="M145" s="43">
        <f t="shared" si="24"/>
        <v>0</v>
      </c>
      <c r="N145" s="43">
        <f t="shared" si="25"/>
        <v>6.096021272242069E-09</v>
      </c>
      <c r="O145" s="44">
        <f t="shared" si="26"/>
        <v>6.096021272242069E-09</v>
      </c>
    </row>
    <row r="146" spans="1:15" ht="12.75">
      <c r="A146" s="170">
        <v>47621</v>
      </c>
      <c r="B146" s="35">
        <f>IF(DIAS365('CALCULADORA TIS Pesos H-2'!$E$6,A146)&lt;0,0,DIAS365('CALCULADORA TIS Pesos H-2'!$E$6,A146))</f>
        <v>2371</v>
      </c>
      <c r="C146" s="36">
        <f>+HLOOKUP('CALCULADORA TIS Pesos H-2'!$E$4,Tablas!$B$1:$B$181,Flujos!J146+1,FALSE)</f>
        <v>0</v>
      </c>
      <c r="D146" s="76">
        <f t="shared" si="18"/>
        <v>0</v>
      </c>
      <c r="E146" s="37">
        <f t="shared" si="20"/>
        <v>0</v>
      </c>
      <c r="F146" s="37">
        <f>ROUND(D145*ROUND(((1+'CALCULADORA TIS Pesos H-2'!$C$14)^(1/12)-1),6),6)</f>
        <v>0</v>
      </c>
      <c r="G146" s="37">
        <f t="shared" si="21"/>
        <v>0</v>
      </c>
      <c r="H146" s="38">
        <f>IF($B146=0,0,G146/POWER(1+'CALCULADORA TIS Pesos H-2'!$F$11,Flujos!$B146/365))</f>
        <v>0</v>
      </c>
      <c r="I146" s="39">
        <f t="shared" si="19"/>
        <v>47621</v>
      </c>
      <c r="J146" s="40">
        <v>144</v>
      </c>
      <c r="K146" s="41">
        <f t="shared" si="22"/>
        <v>4380</v>
      </c>
      <c r="L146" s="42">
        <f t="shared" si="23"/>
        <v>1.0365620255470276E-06</v>
      </c>
      <c r="M146" s="43">
        <f t="shared" si="24"/>
        <v>0</v>
      </c>
      <c r="N146" s="43">
        <f t="shared" si="25"/>
        <v>6.096021272242069E-09</v>
      </c>
      <c r="O146" s="44">
        <f t="shared" si="26"/>
        <v>6.096021272242069E-09</v>
      </c>
    </row>
    <row r="147" spans="1:15" ht="12.75">
      <c r="A147" s="170">
        <v>47652</v>
      </c>
      <c r="B147" s="35">
        <f>IF(DIAS365('CALCULADORA TIS Pesos H-2'!$E$6,A147)&lt;0,0,DIAS365('CALCULADORA TIS Pesos H-2'!$E$6,A147))</f>
        <v>2402</v>
      </c>
      <c r="C147" s="36">
        <f>+HLOOKUP('CALCULADORA TIS Pesos H-2'!$E$4,Tablas!$B$1:$B$181,Flujos!J147+1,FALSE)</f>
        <v>0</v>
      </c>
      <c r="D147" s="76">
        <f t="shared" si="18"/>
        <v>0</v>
      </c>
      <c r="E147" s="37">
        <f t="shared" si="20"/>
        <v>0</v>
      </c>
      <c r="F147" s="37">
        <f>ROUND(D146*ROUND(((1+'CALCULADORA TIS Pesos H-2'!$C$14)^(1/12)-1),6),6)</f>
        <v>0</v>
      </c>
      <c r="G147" s="37">
        <f t="shared" si="21"/>
        <v>0</v>
      </c>
      <c r="H147" s="38">
        <f>IF($B147=0,0,G147/POWER(1+'CALCULADORA TIS Pesos H-2'!$F$11,Flujos!$B147/365))</f>
        <v>0</v>
      </c>
      <c r="I147" s="39">
        <f t="shared" si="19"/>
        <v>47652</v>
      </c>
      <c r="J147" s="40">
        <v>145</v>
      </c>
      <c r="K147" s="41">
        <f t="shared" si="22"/>
        <v>4411</v>
      </c>
      <c r="L147" s="42">
        <f t="shared" si="23"/>
        <v>1.0365620255470276E-06</v>
      </c>
      <c r="M147" s="43">
        <f t="shared" si="24"/>
        <v>0</v>
      </c>
      <c r="N147" s="43">
        <f t="shared" si="25"/>
        <v>6.096021272242069E-09</v>
      </c>
      <c r="O147" s="44">
        <f t="shared" si="26"/>
        <v>6.096021272242069E-09</v>
      </c>
    </row>
    <row r="148" spans="1:15" ht="12.75">
      <c r="A148" s="170">
        <v>47682</v>
      </c>
      <c r="B148" s="35">
        <f>IF(DIAS365('CALCULADORA TIS Pesos H-2'!$E$6,A148)&lt;0,0,DIAS365('CALCULADORA TIS Pesos H-2'!$E$6,A148))</f>
        <v>2432</v>
      </c>
      <c r="C148" s="36">
        <f>+HLOOKUP('CALCULADORA TIS Pesos H-2'!$E$4,Tablas!$B$1:$B$181,Flujos!J148+1,FALSE)</f>
        <v>0</v>
      </c>
      <c r="D148" s="76">
        <f t="shared" si="18"/>
        <v>0</v>
      </c>
      <c r="E148" s="37">
        <f t="shared" si="20"/>
        <v>0</v>
      </c>
      <c r="F148" s="37">
        <f>ROUND(D147*ROUND(((1+'CALCULADORA TIS Pesos H-2'!$C$14)^(1/12)-1),6),6)</f>
        <v>0</v>
      </c>
      <c r="G148" s="37">
        <f t="shared" si="21"/>
        <v>0</v>
      </c>
      <c r="H148" s="38">
        <f>IF($B148=0,0,G148/POWER(1+'CALCULADORA TIS Pesos H-2'!$F$11,Flujos!$B148/365))</f>
        <v>0</v>
      </c>
      <c r="I148" s="39">
        <f t="shared" si="19"/>
        <v>47682</v>
      </c>
      <c r="J148" s="40">
        <v>146</v>
      </c>
      <c r="K148" s="41">
        <f t="shared" si="22"/>
        <v>4441</v>
      </c>
      <c r="L148" s="42">
        <f t="shared" si="23"/>
        <v>1.0365620255470276E-06</v>
      </c>
      <c r="M148" s="43">
        <f t="shared" si="24"/>
        <v>0</v>
      </c>
      <c r="N148" s="43">
        <f t="shared" si="25"/>
        <v>6.096021272242069E-09</v>
      </c>
      <c r="O148" s="44">
        <f t="shared" si="26"/>
        <v>6.096021272242069E-09</v>
      </c>
    </row>
    <row r="149" spans="1:15" ht="12.75">
      <c r="A149" s="170">
        <v>47713</v>
      </c>
      <c r="B149" s="35">
        <f>IF(DIAS365('CALCULADORA TIS Pesos H-2'!$E$6,A149)&lt;0,0,DIAS365('CALCULADORA TIS Pesos H-2'!$E$6,A149))</f>
        <v>2463</v>
      </c>
      <c r="C149" s="36">
        <f>+HLOOKUP('CALCULADORA TIS Pesos H-2'!$E$4,Tablas!$B$1:$B$181,Flujos!J149+1,FALSE)</f>
        <v>0</v>
      </c>
      <c r="D149" s="76">
        <f t="shared" si="18"/>
        <v>0</v>
      </c>
      <c r="E149" s="37">
        <f t="shared" si="20"/>
        <v>0</v>
      </c>
      <c r="F149" s="37">
        <f>ROUND(D148*ROUND(((1+'CALCULADORA TIS Pesos H-2'!$C$14)^(1/12)-1),6),6)</f>
        <v>0</v>
      </c>
      <c r="G149" s="37">
        <f t="shared" si="21"/>
        <v>0</v>
      </c>
      <c r="H149" s="38">
        <f>IF($B149=0,0,G149/POWER(1+'CALCULADORA TIS Pesos H-2'!$F$11,Flujos!$B149/365))</f>
        <v>0</v>
      </c>
      <c r="I149" s="39">
        <f t="shared" si="19"/>
        <v>47713</v>
      </c>
      <c r="J149" s="40">
        <v>147</v>
      </c>
      <c r="K149" s="41">
        <f t="shared" si="22"/>
        <v>4472</v>
      </c>
      <c r="L149" s="42">
        <f t="shared" si="23"/>
        <v>1.0365620255470276E-06</v>
      </c>
      <c r="M149" s="43">
        <f t="shared" si="24"/>
        <v>0</v>
      </c>
      <c r="N149" s="43">
        <f t="shared" si="25"/>
        <v>6.096021272242069E-09</v>
      </c>
      <c r="O149" s="44">
        <f t="shared" si="26"/>
        <v>6.096021272242069E-09</v>
      </c>
    </row>
    <row r="150" spans="1:15" ht="12.75">
      <c r="A150" s="170">
        <v>47744</v>
      </c>
      <c r="B150" s="35">
        <f>IF(DIAS365('CALCULADORA TIS Pesos H-2'!$E$6,A150)&lt;0,0,DIAS365('CALCULADORA TIS Pesos H-2'!$E$6,A150))</f>
        <v>2494</v>
      </c>
      <c r="C150" s="36">
        <f>+HLOOKUP('CALCULADORA TIS Pesos H-2'!$E$4,Tablas!$B$1:$B$181,Flujos!J150+1,FALSE)</f>
        <v>0</v>
      </c>
      <c r="D150" s="76">
        <f t="shared" si="18"/>
        <v>0</v>
      </c>
      <c r="E150" s="37">
        <f t="shared" si="20"/>
        <v>0</v>
      </c>
      <c r="F150" s="37">
        <f>ROUND(D149*ROUND(((1+'CALCULADORA TIS Pesos H-2'!$C$14)^(1/12)-1),6),6)</f>
        <v>0</v>
      </c>
      <c r="G150" s="37">
        <f t="shared" si="21"/>
        <v>0</v>
      </c>
      <c r="H150" s="38">
        <f>IF($B150=0,0,G150/POWER(1+'CALCULADORA TIS Pesos H-2'!$F$11,Flujos!$B150/365))</f>
        <v>0</v>
      </c>
      <c r="I150" s="39">
        <f t="shared" si="19"/>
        <v>47744</v>
      </c>
      <c r="J150" s="40">
        <v>148</v>
      </c>
      <c r="K150" s="41">
        <f t="shared" si="22"/>
        <v>4503</v>
      </c>
      <c r="L150" s="42">
        <f t="shared" si="23"/>
        <v>1.0365620255470276E-06</v>
      </c>
      <c r="M150" s="43">
        <f t="shared" si="24"/>
        <v>0</v>
      </c>
      <c r="N150" s="43">
        <f t="shared" si="25"/>
        <v>6.096021272242069E-09</v>
      </c>
      <c r="O150" s="44">
        <f t="shared" si="26"/>
        <v>6.096021272242069E-09</v>
      </c>
    </row>
    <row r="151" spans="1:15" ht="12.75">
      <c r="A151" s="170">
        <v>47774</v>
      </c>
      <c r="B151" s="35">
        <f>IF(DIAS365('CALCULADORA TIS Pesos H-2'!$E$6,A151)&lt;0,0,DIAS365('CALCULADORA TIS Pesos H-2'!$E$6,A151))</f>
        <v>2524</v>
      </c>
      <c r="C151" s="36">
        <f>+HLOOKUP('CALCULADORA TIS Pesos H-2'!$E$4,Tablas!$B$1:$B$181,Flujos!J151+1,FALSE)</f>
        <v>0</v>
      </c>
      <c r="D151" s="76">
        <f t="shared" si="18"/>
        <v>0</v>
      </c>
      <c r="E151" s="37">
        <f t="shared" si="20"/>
        <v>0</v>
      </c>
      <c r="F151" s="37">
        <f>ROUND(D150*ROUND(((1+'CALCULADORA TIS Pesos H-2'!$C$14)^(1/12)-1),6),6)</f>
        <v>0</v>
      </c>
      <c r="G151" s="37">
        <f t="shared" si="21"/>
        <v>0</v>
      </c>
      <c r="H151" s="38">
        <f>IF($B151=0,0,G151/POWER(1+'CALCULADORA TIS Pesos H-2'!$F$11,Flujos!$B151/365))</f>
        <v>0</v>
      </c>
      <c r="I151" s="39">
        <f t="shared" si="19"/>
        <v>47774</v>
      </c>
      <c r="J151" s="40">
        <v>149</v>
      </c>
      <c r="K151" s="41">
        <f t="shared" si="22"/>
        <v>4533</v>
      </c>
      <c r="L151" s="42">
        <f t="shared" si="23"/>
        <v>1.0365620255470276E-06</v>
      </c>
      <c r="M151" s="43">
        <f t="shared" si="24"/>
        <v>0</v>
      </c>
      <c r="N151" s="43">
        <f t="shared" si="25"/>
        <v>6.096021272242069E-09</v>
      </c>
      <c r="O151" s="44">
        <f t="shared" si="26"/>
        <v>6.096021272242069E-09</v>
      </c>
    </row>
    <row r="152" spans="1:15" ht="12.75">
      <c r="A152" s="170">
        <v>47805</v>
      </c>
      <c r="B152" s="35">
        <f>IF(DIAS365('CALCULADORA TIS Pesos H-2'!$E$6,A152)&lt;0,0,DIAS365('CALCULADORA TIS Pesos H-2'!$E$6,A152))</f>
        <v>2555</v>
      </c>
      <c r="C152" s="36">
        <f>+HLOOKUP('CALCULADORA TIS Pesos H-2'!$E$4,Tablas!$B$1:$B$181,Flujos!J152+1,FALSE)</f>
        <v>0</v>
      </c>
      <c r="D152" s="76">
        <f t="shared" si="18"/>
        <v>0</v>
      </c>
      <c r="E152" s="37">
        <f t="shared" si="20"/>
        <v>0</v>
      </c>
      <c r="F152" s="37">
        <f>ROUND(D151*ROUND(((1+'CALCULADORA TIS Pesos H-2'!$C$14)^(1/12)-1),6),6)</f>
        <v>0</v>
      </c>
      <c r="G152" s="37">
        <f t="shared" si="21"/>
        <v>0</v>
      </c>
      <c r="H152" s="38">
        <f>IF($B152=0,0,G152/POWER(1+'CALCULADORA TIS Pesos H-2'!$F$11,Flujos!$B152/365))</f>
        <v>0</v>
      </c>
      <c r="I152" s="39">
        <f t="shared" si="19"/>
        <v>47805</v>
      </c>
      <c r="J152" s="40">
        <v>150</v>
      </c>
      <c r="K152" s="41">
        <f t="shared" si="22"/>
        <v>4564</v>
      </c>
      <c r="L152" s="42">
        <f t="shared" si="23"/>
        <v>1.0365620255470276E-06</v>
      </c>
      <c r="M152" s="43">
        <f t="shared" si="24"/>
        <v>0</v>
      </c>
      <c r="N152" s="43">
        <f t="shared" si="25"/>
        <v>6.096021272242069E-09</v>
      </c>
      <c r="O152" s="44">
        <f t="shared" si="26"/>
        <v>6.096021272242069E-09</v>
      </c>
    </row>
    <row r="153" spans="1:15" ht="12.75">
      <c r="A153" s="170">
        <v>47835</v>
      </c>
      <c r="B153" s="35">
        <f>IF(DIAS365('CALCULADORA TIS Pesos H-2'!$E$6,A153)&lt;0,0,DIAS365('CALCULADORA TIS Pesos H-2'!$E$6,A153))</f>
        <v>2585</v>
      </c>
      <c r="C153" s="36">
        <f>+HLOOKUP('CALCULADORA TIS Pesos H-2'!$E$4,Tablas!$B$1:$B$181,Flujos!J153+1,FALSE)</f>
        <v>0</v>
      </c>
      <c r="D153" s="76">
        <f t="shared" si="18"/>
        <v>0</v>
      </c>
      <c r="E153" s="37">
        <f t="shared" si="20"/>
        <v>0</v>
      </c>
      <c r="F153" s="37">
        <f>ROUND(D152*ROUND(((1+'CALCULADORA TIS Pesos H-2'!$C$14)^(1/12)-1),6),6)</f>
        <v>0</v>
      </c>
      <c r="G153" s="37">
        <f t="shared" si="21"/>
        <v>0</v>
      </c>
      <c r="H153" s="38">
        <f>IF($B153=0,0,G153/POWER(1+'CALCULADORA TIS Pesos H-2'!$F$11,Flujos!$B153/365))</f>
        <v>0</v>
      </c>
      <c r="I153" s="39">
        <f t="shared" si="19"/>
        <v>47835</v>
      </c>
      <c r="J153" s="40">
        <v>151</v>
      </c>
      <c r="K153" s="41">
        <f t="shared" si="22"/>
        <v>4594</v>
      </c>
      <c r="L153" s="42">
        <f t="shared" si="23"/>
        <v>1.0365620255470276E-06</v>
      </c>
      <c r="M153" s="43">
        <f t="shared" si="24"/>
        <v>0</v>
      </c>
      <c r="N153" s="43">
        <f t="shared" si="25"/>
        <v>6.096021272242069E-09</v>
      </c>
      <c r="O153" s="44">
        <f t="shared" si="26"/>
        <v>6.096021272242069E-09</v>
      </c>
    </row>
    <row r="154" spans="1:15" ht="12.75">
      <c r="A154" s="170">
        <v>47866</v>
      </c>
      <c r="B154" s="35">
        <f>IF(DIAS365('CALCULADORA TIS Pesos H-2'!$E$6,A154)&lt;0,0,DIAS365('CALCULADORA TIS Pesos H-2'!$E$6,A154))</f>
        <v>2616</v>
      </c>
      <c r="C154" s="36">
        <f>+HLOOKUP('CALCULADORA TIS Pesos H-2'!$E$4,Tablas!$B$1:$B$181,Flujos!J154+1,FALSE)</f>
        <v>0</v>
      </c>
      <c r="D154" s="76">
        <f t="shared" si="18"/>
        <v>0</v>
      </c>
      <c r="E154" s="37">
        <f t="shared" si="20"/>
        <v>0</v>
      </c>
      <c r="F154" s="37">
        <f>ROUND(D153*ROUND(((1+'CALCULADORA TIS Pesos H-2'!$C$14)^(1/12)-1),6),6)</f>
        <v>0</v>
      </c>
      <c r="G154" s="37">
        <f t="shared" si="21"/>
        <v>0</v>
      </c>
      <c r="H154" s="38">
        <f>IF($B154=0,0,G154/POWER(1+'CALCULADORA TIS Pesos H-2'!$F$11,Flujos!$B154/365))</f>
        <v>0</v>
      </c>
      <c r="I154" s="39">
        <f t="shared" si="19"/>
        <v>47866</v>
      </c>
      <c r="J154" s="40">
        <v>152</v>
      </c>
      <c r="K154" s="41">
        <f t="shared" si="22"/>
        <v>4625</v>
      </c>
      <c r="L154" s="42">
        <f t="shared" si="23"/>
        <v>1.0365620255470276E-06</v>
      </c>
      <c r="M154" s="43">
        <f t="shared" si="24"/>
        <v>0</v>
      </c>
      <c r="N154" s="43">
        <f t="shared" si="25"/>
        <v>6.096021272242069E-09</v>
      </c>
      <c r="O154" s="44">
        <f t="shared" si="26"/>
        <v>6.096021272242069E-09</v>
      </c>
    </row>
    <row r="155" spans="1:15" ht="12.75">
      <c r="A155" s="170">
        <v>47897</v>
      </c>
      <c r="B155" s="35">
        <f>IF(DIAS365('CALCULADORA TIS Pesos H-2'!$E$6,A155)&lt;0,0,DIAS365('CALCULADORA TIS Pesos H-2'!$E$6,A155))</f>
        <v>2647</v>
      </c>
      <c r="C155" s="36">
        <f>+HLOOKUP('CALCULADORA TIS Pesos H-2'!$E$4,Tablas!$B$1:$B$181,Flujos!J155+1,FALSE)</f>
        <v>0</v>
      </c>
      <c r="D155" s="76">
        <f t="shared" si="18"/>
        <v>0</v>
      </c>
      <c r="E155" s="37">
        <f t="shared" si="20"/>
        <v>0</v>
      </c>
      <c r="F155" s="37">
        <f>ROUND(D154*ROUND(((1+'CALCULADORA TIS Pesos H-2'!$C$14)^(1/12)-1),6),6)</f>
        <v>0</v>
      </c>
      <c r="G155" s="37">
        <f t="shared" si="21"/>
        <v>0</v>
      </c>
      <c r="H155" s="38">
        <f>IF($B155=0,0,G155/POWER(1+'CALCULADORA TIS Pesos H-2'!$F$11,Flujos!$B155/365))</f>
        <v>0</v>
      </c>
      <c r="I155" s="39">
        <f t="shared" si="19"/>
        <v>47897</v>
      </c>
      <c r="J155" s="40">
        <v>153</v>
      </c>
      <c r="K155" s="41">
        <f t="shared" si="22"/>
        <v>4656</v>
      </c>
      <c r="L155" s="42">
        <f t="shared" si="23"/>
        <v>1.0365620255470276E-06</v>
      </c>
      <c r="M155" s="43">
        <f t="shared" si="24"/>
        <v>0</v>
      </c>
      <c r="N155" s="43">
        <f t="shared" si="25"/>
        <v>6.096021272242069E-09</v>
      </c>
      <c r="O155" s="44">
        <f t="shared" si="26"/>
        <v>6.096021272242069E-09</v>
      </c>
    </row>
    <row r="156" spans="1:15" ht="12.75">
      <c r="A156" s="170">
        <v>47925</v>
      </c>
      <c r="B156" s="35">
        <f>IF(DIAS365('CALCULADORA TIS Pesos H-2'!$E$6,A156)&lt;0,0,DIAS365('CALCULADORA TIS Pesos H-2'!$E$6,A156))</f>
        <v>2675</v>
      </c>
      <c r="C156" s="36">
        <f>+HLOOKUP('CALCULADORA TIS Pesos H-2'!$E$4,Tablas!$B$1:$B$181,Flujos!J156+1,FALSE)</f>
        <v>0</v>
      </c>
      <c r="D156" s="76">
        <f t="shared" si="18"/>
        <v>0</v>
      </c>
      <c r="E156" s="37">
        <f t="shared" si="20"/>
        <v>0</v>
      </c>
      <c r="F156" s="37">
        <f>ROUND(D155*ROUND(((1+'CALCULADORA TIS Pesos H-2'!$C$14)^(1/12)-1),6),6)</f>
        <v>0</v>
      </c>
      <c r="G156" s="37">
        <f t="shared" si="21"/>
        <v>0</v>
      </c>
      <c r="H156" s="38">
        <f>IF($B156=0,0,G156/POWER(1+'CALCULADORA TIS Pesos H-2'!$F$11,Flujos!$B156/365))</f>
        <v>0</v>
      </c>
      <c r="I156" s="39">
        <f t="shared" si="19"/>
        <v>47925</v>
      </c>
      <c r="J156" s="40">
        <v>154</v>
      </c>
      <c r="K156" s="41">
        <f t="shared" si="22"/>
        <v>4684</v>
      </c>
      <c r="L156" s="42">
        <f t="shared" si="23"/>
        <v>1.0365620255470276E-06</v>
      </c>
      <c r="M156" s="43">
        <f t="shared" si="24"/>
        <v>0</v>
      </c>
      <c r="N156" s="43">
        <f t="shared" si="25"/>
        <v>6.096021272242069E-09</v>
      </c>
      <c r="O156" s="44">
        <f t="shared" si="26"/>
        <v>6.096021272242069E-09</v>
      </c>
    </row>
    <row r="157" spans="1:15" ht="12.75">
      <c r="A157" s="170">
        <v>47956</v>
      </c>
      <c r="B157" s="35">
        <f>IF(DIAS365('CALCULADORA TIS Pesos H-2'!$E$6,A157)&lt;0,0,DIAS365('CALCULADORA TIS Pesos H-2'!$E$6,A157))</f>
        <v>2706</v>
      </c>
      <c r="C157" s="36">
        <f>+HLOOKUP('CALCULADORA TIS Pesos H-2'!$E$4,Tablas!$B$1:$B$181,Flujos!J157+1,FALSE)</f>
        <v>0</v>
      </c>
      <c r="D157" s="76">
        <f t="shared" si="18"/>
        <v>0</v>
      </c>
      <c r="E157" s="37">
        <f t="shared" si="20"/>
        <v>0</v>
      </c>
      <c r="F157" s="37">
        <f>ROUND(D156*ROUND(((1+'CALCULADORA TIS Pesos H-2'!$C$14)^(1/12)-1),6),6)</f>
        <v>0</v>
      </c>
      <c r="G157" s="37">
        <f t="shared" si="21"/>
        <v>0</v>
      </c>
      <c r="H157" s="38">
        <f>IF($B157=0,0,G157/POWER(1+'CALCULADORA TIS Pesos H-2'!$F$11,Flujos!$B157/365))</f>
        <v>0</v>
      </c>
      <c r="I157" s="39">
        <f t="shared" si="19"/>
        <v>47956</v>
      </c>
      <c r="J157" s="40">
        <v>155</v>
      </c>
      <c r="K157" s="41">
        <f t="shared" si="22"/>
        <v>4715</v>
      </c>
      <c r="L157" s="42">
        <f t="shared" si="23"/>
        <v>1.0365620255470276E-06</v>
      </c>
      <c r="M157" s="43">
        <f t="shared" si="24"/>
        <v>0</v>
      </c>
      <c r="N157" s="43">
        <f t="shared" si="25"/>
        <v>6.096021272242069E-09</v>
      </c>
      <c r="O157" s="44">
        <f t="shared" si="26"/>
        <v>6.096021272242069E-09</v>
      </c>
    </row>
    <row r="158" spans="1:15" ht="12.75">
      <c r="A158" s="170">
        <v>47986</v>
      </c>
      <c r="B158" s="35">
        <f>IF(DIAS365('CALCULADORA TIS Pesos H-2'!$E$6,A158)&lt;0,0,DIAS365('CALCULADORA TIS Pesos H-2'!$E$6,A158))</f>
        <v>2736</v>
      </c>
      <c r="C158" s="36">
        <f>+HLOOKUP('CALCULADORA TIS Pesos H-2'!$E$4,Tablas!$B$1:$B$181,Flujos!J158+1,FALSE)</f>
        <v>0</v>
      </c>
      <c r="D158" s="76">
        <f t="shared" si="18"/>
        <v>0</v>
      </c>
      <c r="E158" s="37">
        <f t="shared" si="20"/>
        <v>0</v>
      </c>
      <c r="F158" s="37">
        <f>ROUND(D157*ROUND(((1+'CALCULADORA TIS Pesos H-2'!$C$14)^(1/12)-1),6),6)</f>
        <v>0</v>
      </c>
      <c r="G158" s="37">
        <f t="shared" si="21"/>
        <v>0</v>
      </c>
      <c r="H158" s="38">
        <f>IF($B158=0,0,G158/POWER(1+'CALCULADORA TIS Pesos H-2'!$F$11,Flujos!$B158/365))</f>
        <v>0</v>
      </c>
      <c r="I158" s="39">
        <f t="shared" si="19"/>
        <v>47986</v>
      </c>
      <c r="J158" s="40">
        <v>156</v>
      </c>
      <c r="K158" s="41">
        <f t="shared" si="22"/>
        <v>4745</v>
      </c>
      <c r="L158" s="42">
        <f t="shared" si="23"/>
        <v>1.0365620255470276E-06</v>
      </c>
      <c r="M158" s="43">
        <f t="shared" si="24"/>
        <v>0</v>
      </c>
      <c r="N158" s="43">
        <f t="shared" si="25"/>
        <v>6.096021272242069E-09</v>
      </c>
      <c r="O158" s="44">
        <f t="shared" si="26"/>
        <v>6.096021272242069E-09</v>
      </c>
    </row>
    <row r="159" spans="1:15" ht="12.75">
      <c r="A159" s="170">
        <v>48017</v>
      </c>
      <c r="B159" s="35">
        <f>IF(DIAS365('CALCULADORA TIS Pesos H-2'!$E$6,A159)&lt;0,0,DIAS365('CALCULADORA TIS Pesos H-2'!$E$6,A159))</f>
        <v>2767</v>
      </c>
      <c r="C159" s="36">
        <f>+HLOOKUP('CALCULADORA TIS Pesos H-2'!$E$4,Tablas!$B$1:$B$181,Flujos!J159+1,FALSE)</f>
        <v>0</v>
      </c>
      <c r="D159" s="76">
        <f t="shared" si="18"/>
        <v>0</v>
      </c>
      <c r="E159" s="37">
        <f t="shared" si="20"/>
        <v>0</v>
      </c>
      <c r="F159" s="37">
        <f>ROUND(D158*ROUND(((1+'CALCULADORA TIS Pesos H-2'!$C$14)^(1/12)-1),6),6)</f>
        <v>0</v>
      </c>
      <c r="G159" s="37">
        <f t="shared" si="21"/>
        <v>0</v>
      </c>
      <c r="H159" s="38">
        <f>IF($B159=0,0,G159/POWER(1+'CALCULADORA TIS Pesos H-2'!$F$11,Flujos!$B159/365))</f>
        <v>0</v>
      </c>
      <c r="I159" s="39">
        <f t="shared" si="19"/>
        <v>48017</v>
      </c>
      <c r="J159" s="40">
        <v>157</v>
      </c>
      <c r="K159" s="41">
        <f t="shared" si="22"/>
        <v>4776</v>
      </c>
      <c r="L159" s="42">
        <f t="shared" si="23"/>
        <v>1.0365620255470276E-06</v>
      </c>
      <c r="M159" s="43">
        <f t="shared" si="24"/>
        <v>0</v>
      </c>
      <c r="N159" s="43">
        <f t="shared" si="25"/>
        <v>6.096021272242069E-09</v>
      </c>
      <c r="O159" s="44">
        <f t="shared" si="26"/>
        <v>6.096021272242069E-09</v>
      </c>
    </row>
    <row r="160" spans="1:15" ht="12.75">
      <c r="A160" s="170">
        <v>48047</v>
      </c>
      <c r="B160" s="35">
        <f>IF(DIAS365('CALCULADORA TIS Pesos H-2'!$E$6,A160)&lt;0,0,DIAS365('CALCULADORA TIS Pesos H-2'!$E$6,A160))</f>
        <v>2797</v>
      </c>
      <c r="C160" s="36">
        <f>+HLOOKUP('CALCULADORA TIS Pesos H-2'!$E$4,Tablas!$B$1:$B$181,Flujos!J160+1,FALSE)</f>
        <v>0</v>
      </c>
      <c r="D160" s="76">
        <f t="shared" si="18"/>
        <v>0</v>
      </c>
      <c r="E160" s="37">
        <f t="shared" si="20"/>
        <v>0</v>
      </c>
      <c r="F160" s="37">
        <f>ROUND(D159*ROUND(((1+'CALCULADORA TIS Pesos H-2'!$C$14)^(1/12)-1),6),6)</f>
        <v>0</v>
      </c>
      <c r="G160" s="37">
        <f t="shared" si="21"/>
        <v>0</v>
      </c>
      <c r="H160" s="38">
        <f>IF($B160=0,0,G160/POWER(1+'CALCULADORA TIS Pesos H-2'!$F$11,Flujos!$B160/365))</f>
        <v>0</v>
      </c>
      <c r="I160" s="39">
        <f t="shared" si="19"/>
        <v>48047</v>
      </c>
      <c r="J160" s="40">
        <v>158</v>
      </c>
      <c r="K160" s="41">
        <f t="shared" si="22"/>
        <v>4806</v>
      </c>
      <c r="L160" s="42">
        <f t="shared" si="23"/>
        <v>1.0365620255470276E-06</v>
      </c>
      <c r="M160" s="43">
        <f t="shared" si="24"/>
        <v>0</v>
      </c>
      <c r="N160" s="43">
        <f t="shared" si="25"/>
        <v>6.096021272242069E-09</v>
      </c>
      <c r="O160" s="44">
        <f t="shared" si="26"/>
        <v>6.096021272242069E-09</v>
      </c>
    </row>
    <row r="161" spans="1:15" ht="12.75">
      <c r="A161" s="170">
        <v>48078</v>
      </c>
      <c r="B161" s="35">
        <f>IF(DIAS365('CALCULADORA TIS Pesos H-2'!$E$6,A161)&lt;0,0,DIAS365('CALCULADORA TIS Pesos H-2'!$E$6,A161))</f>
        <v>2828</v>
      </c>
      <c r="C161" s="36">
        <f>+HLOOKUP('CALCULADORA TIS Pesos H-2'!$E$4,Tablas!$B$1:$B$181,Flujos!J161+1,FALSE)</f>
        <v>0</v>
      </c>
      <c r="D161" s="76">
        <f t="shared" si="18"/>
        <v>0</v>
      </c>
      <c r="E161" s="37">
        <f t="shared" si="20"/>
        <v>0</v>
      </c>
      <c r="F161" s="37">
        <f>ROUND(D160*ROUND(((1+'CALCULADORA TIS Pesos H-2'!$C$14)^(1/12)-1),6),6)</f>
        <v>0</v>
      </c>
      <c r="G161" s="37">
        <f t="shared" si="21"/>
        <v>0</v>
      </c>
      <c r="H161" s="38">
        <f>IF($B161=0,0,G161/POWER(1+'CALCULADORA TIS Pesos H-2'!$F$11,Flujos!$B161/365))</f>
        <v>0</v>
      </c>
      <c r="I161" s="39">
        <f t="shared" si="19"/>
        <v>48078</v>
      </c>
      <c r="J161" s="40">
        <v>159</v>
      </c>
      <c r="K161" s="41">
        <f t="shared" si="22"/>
        <v>4837</v>
      </c>
      <c r="L161" s="42">
        <f t="shared" si="23"/>
        <v>1.0365620255470276E-06</v>
      </c>
      <c r="M161" s="43">
        <f t="shared" si="24"/>
        <v>0</v>
      </c>
      <c r="N161" s="43">
        <f t="shared" si="25"/>
        <v>6.096021272242069E-09</v>
      </c>
      <c r="O161" s="44">
        <f t="shared" si="26"/>
        <v>6.096021272242069E-09</v>
      </c>
    </row>
    <row r="162" spans="1:15" ht="12.75">
      <c r="A162" s="170">
        <v>48109</v>
      </c>
      <c r="B162" s="35">
        <f>IF(DIAS365('CALCULADORA TIS Pesos H-2'!$E$6,A162)&lt;0,0,DIAS365('CALCULADORA TIS Pesos H-2'!$E$6,A162))</f>
        <v>2859</v>
      </c>
      <c r="C162" s="36">
        <f>+HLOOKUP('CALCULADORA TIS Pesos H-2'!$E$4,Tablas!$B$1:$B$181,Flujos!J162+1,FALSE)</f>
        <v>0</v>
      </c>
      <c r="D162" s="76">
        <f t="shared" si="18"/>
        <v>0</v>
      </c>
      <c r="E162" s="37">
        <f t="shared" si="20"/>
        <v>0</v>
      </c>
      <c r="F162" s="37">
        <f>ROUND(D161*ROUND(((1+'CALCULADORA TIS Pesos H-2'!$C$14)^(1/12)-1),6),6)</f>
        <v>0</v>
      </c>
      <c r="G162" s="37">
        <f t="shared" si="21"/>
        <v>0</v>
      </c>
      <c r="H162" s="38">
        <f>IF($B162=0,0,G162/POWER(1+'CALCULADORA TIS Pesos H-2'!$F$11,Flujos!$B162/365))</f>
        <v>0</v>
      </c>
      <c r="I162" s="39">
        <f t="shared" si="19"/>
        <v>48109</v>
      </c>
      <c r="J162" s="40">
        <v>160</v>
      </c>
      <c r="K162" s="41">
        <f t="shared" si="22"/>
        <v>4868</v>
      </c>
      <c r="L162" s="42">
        <f t="shared" si="23"/>
        <v>1.0365620255470276E-06</v>
      </c>
      <c r="M162" s="43">
        <f t="shared" si="24"/>
        <v>0</v>
      </c>
      <c r="N162" s="43">
        <f t="shared" si="25"/>
        <v>6.096021272242069E-09</v>
      </c>
      <c r="O162" s="44">
        <f t="shared" si="26"/>
        <v>6.096021272242069E-09</v>
      </c>
    </row>
    <row r="163" spans="1:15" ht="12.75">
      <c r="A163" s="170">
        <v>48139</v>
      </c>
      <c r="B163" s="35">
        <f>IF(DIAS365('CALCULADORA TIS Pesos H-2'!$E$6,A163)&lt;0,0,DIAS365('CALCULADORA TIS Pesos H-2'!$E$6,A163))</f>
        <v>2889</v>
      </c>
      <c r="C163" s="36">
        <f>+HLOOKUP('CALCULADORA TIS Pesos H-2'!$E$4,Tablas!$B$1:$B$181,Flujos!J163+1,FALSE)</f>
        <v>0</v>
      </c>
      <c r="D163" s="76">
        <f t="shared" si="18"/>
        <v>0</v>
      </c>
      <c r="E163" s="37">
        <f t="shared" si="20"/>
        <v>0</v>
      </c>
      <c r="F163" s="37">
        <f>ROUND(D162*ROUND(((1+'CALCULADORA TIS Pesos H-2'!$C$14)^(1/12)-1),6),6)</f>
        <v>0</v>
      </c>
      <c r="G163" s="37">
        <f t="shared" si="21"/>
        <v>0</v>
      </c>
      <c r="H163" s="38">
        <f>IF($B163=0,0,G163/POWER(1+'CALCULADORA TIS Pesos H-2'!$F$11,Flujos!$B163/365))</f>
        <v>0</v>
      </c>
      <c r="I163" s="39">
        <f t="shared" si="19"/>
        <v>48139</v>
      </c>
      <c r="J163" s="40">
        <v>161</v>
      </c>
      <c r="K163" s="41">
        <f t="shared" si="22"/>
        <v>4898</v>
      </c>
      <c r="L163" s="42">
        <f t="shared" si="23"/>
        <v>1.0365620255470276E-06</v>
      </c>
      <c r="M163" s="43">
        <f t="shared" si="24"/>
        <v>0</v>
      </c>
      <c r="N163" s="43">
        <f t="shared" si="25"/>
        <v>6.096021272242069E-09</v>
      </c>
      <c r="O163" s="44">
        <f t="shared" si="26"/>
        <v>6.096021272242069E-09</v>
      </c>
    </row>
    <row r="164" spans="1:15" ht="12.75">
      <c r="A164" s="170">
        <v>48170</v>
      </c>
      <c r="B164" s="35">
        <f>IF(DIAS365('CALCULADORA TIS Pesos H-2'!$E$6,A164)&lt;0,0,DIAS365('CALCULADORA TIS Pesos H-2'!$E$6,A164))</f>
        <v>2920</v>
      </c>
      <c r="C164" s="36">
        <f>+HLOOKUP('CALCULADORA TIS Pesos H-2'!$E$4,Tablas!$B$1:$B$181,Flujos!J164+1,FALSE)</f>
        <v>0</v>
      </c>
      <c r="D164" s="76">
        <f t="shared" si="18"/>
        <v>0</v>
      </c>
      <c r="E164" s="37">
        <f t="shared" si="20"/>
        <v>0</v>
      </c>
      <c r="F164" s="37">
        <f>ROUND(D163*ROUND(((1+'CALCULADORA TIS Pesos H-2'!$C$14)^(1/12)-1),6),6)</f>
        <v>0</v>
      </c>
      <c r="G164" s="37">
        <f t="shared" si="21"/>
        <v>0</v>
      </c>
      <c r="H164" s="38">
        <f>IF($B164=0,0,G164/POWER(1+'CALCULADORA TIS Pesos H-2'!$F$11,Flujos!$B164/365))</f>
        <v>0</v>
      </c>
      <c r="I164" s="39">
        <f t="shared" si="19"/>
        <v>48170</v>
      </c>
      <c r="J164" s="40">
        <v>162</v>
      </c>
      <c r="K164" s="41">
        <f t="shared" si="22"/>
        <v>4929</v>
      </c>
      <c r="L164" s="42">
        <f t="shared" si="23"/>
        <v>1.0365620255470276E-06</v>
      </c>
      <c r="M164" s="43">
        <f t="shared" si="24"/>
        <v>0</v>
      </c>
      <c r="N164" s="43">
        <f t="shared" si="25"/>
        <v>6.096021272242069E-09</v>
      </c>
      <c r="O164" s="44">
        <f t="shared" si="26"/>
        <v>6.096021272242069E-09</v>
      </c>
    </row>
    <row r="165" spans="1:15" ht="12.75">
      <c r="A165" s="170">
        <v>48200</v>
      </c>
      <c r="B165" s="35">
        <f>IF(DIAS365('CALCULADORA TIS Pesos H-2'!$E$6,A165)&lt;0,0,DIAS365('CALCULADORA TIS Pesos H-2'!$E$6,A165))</f>
        <v>2950</v>
      </c>
      <c r="C165" s="36">
        <f>+HLOOKUP('CALCULADORA TIS Pesos H-2'!$E$4,Tablas!$B$1:$B$181,Flujos!J165+1,FALSE)</f>
        <v>0</v>
      </c>
      <c r="D165" s="76">
        <f t="shared" si="18"/>
        <v>0</v>
      </c>
      <c r="E165" s="37">
        <f t="shared" si="20"/>
        <v>0</v>
      </c>
      <c r="F165" s="37">
        <f>ROUND(D164*ROUND(((1+'CALCULADORA TIS Pesos H-2'!$C$14)^(1/12)-1),6),6)</f>
        <v>0</v>
      </c>
      <c r="G165" s="37">
        <f t="shared" si="21"/>
        <v>0</v>
      </c>
      <c r="H165" s="38">
        <f>IF($B165=0,0,G165/POWER(1+'CALCULADORA TIS Pesos H-2'!$F$11,Flujos!$B165/365))</f>
        <v>0</v>
      </c>
      <c r="I165" s="39">
        <f t="shared" si="19"/>
        <v>48200</v>
      </c>
      <c r="J165" s="40">
        <v>163</v>
      </c>
      <c r="K165" s="41">
        <f t="shared" si="22"/>
        <v>4959</v>
      </c>
      <c r="L165" s="42">
        <f t="shared" si="23"/>
        <v>1.0365620255470276E-06</v>
      </c>
      <c r="M165" s="43">
        <f t="shared" si="24"/>
        <v>0</v>
      </c>
      <c r="N165" s="43">
        <f t="shared" si="25"/>
        <v>6.096021272242069E-09</v>
      </c>
      <c r="O165" s="44">
        <f t="shared" si="26"/>
        <v>6.096021272242069E-09</v>
      </c>
    </row>
    <row r="166" spans="1:15" ht="12.75">
      <c r="A166" s="170">
        <v>48231</v>
      </c>
      <c r="B166" s="35">
        <f>IF(DIAS365('CALCULADORA TIS Pesos H-2'!$E$6,A166)&lt;0,0,DIAS365('CALCULADORA TIS Pesos H-2'!$E$6,A166))</f>
        <v>2981</v>
      </c>
      <c r="C166" s="36">
        <f>+HLOOKUP('CALCULADORA TIS Pesos H-2'!$E$4,Tablas!$B$1:$B$181,Flujos!J166+1,FALSE)</f>
        <v>0</v>
      </c>
      <c r="D166" s="76">
        <f t="shared" si="18"/>
        <v>0</v>
      </c>
      <c r="E166" s="37">
        <f t="shared" si="20"/>
        <v>0</v>
      </c>
      <c r="F166" s="37">
        <f>ROUND(D165*ROUND(((1+'CALCULADORA TIS Pesos H-2'!$C$14)^(1/12)-1),6),6)</f>
        <v>0</v>
      </c>
      <c r="G166" s="37">
        <f t="shared" si="21"/>
        <v>0</v>
      </c>
      <c r="H166" s="38">
        <f>IF($B166=0,0,G166/POWER(1+'CALCULADORA TIS Pesos H-2'!$F$11,Flujos!$B166/365))</f>
        <v>0</v>
      </c>
      <c r="I166" s="39">
        <f t="shared" si="19"/>
        <v>48231</v>
      </c>
      <c r="J166" s="40">
        <v>164</v>
      </c>
      <c r="K166" s="41">
        <f t="shared" si="22"/>
        <v>4990</v>
      </c>
      <c r="L166" s="42">
        <f t="shared" si="23"/>
        <v>1.0365620255470276E-06</v>
      </c>
      <c r="M166" s="43">
        <f t="shared" si="24"/>
        <v>0</v>
      </c>
      <c r="N166" s="43">
        <f t="shared" si="25"/>
        <v>6.096021272242069E-09</v>
      </c>
      <c r="O166" s="44">
        <f t="shared" si="26"/>
        <v>6.096021272242069E-09</v>
      </c>
    </row>
    <row r="167" spans="1:15" ht="12.75">
      <c r="A167" s="170">
        <v>48262</v>
      </c>
      <c r="B167" s="35">
        <f>IF(DIAS365('CALCULADORA TIS Pesos H-2'!$E$6,A167)&lt;0,0,DIAS365('CALCULADORA TIS Pesos H-2'!$E$6,A167))</f>
        <v>3012</v>
      </c>
      <c r="C167" s="36">
        <f>+HLOOKUP('CALCULADORA TIS Pesos H-2'!$E$4,Tablas!$B$1:$B$181,Flujos!J167+1,FALSE)</f>
        <v>0</v>
      </c>
      <c r="D167" s="76">
        <f t="shared" si="18"/>
        <v>0</v>
      </c>
      <c r="E167" s="37">
        <f t="shared" si="20"/>
        <v>0</v>
      </c>
      <c r="F167" s="37">
        <f>ROUND(D166*ROUND(((1+'CALCULADORA TIS Pesos H-2'!$C$14)^(1/12)-1),6),6)</f>
        <v>0</v>
      </c>
      <c r="G167" s="37">
        <f t="shared" si="21"/>
        <v>0</v>
      </c>
      <c r="H167" s="38">
        <f>IF($B167=0,0,G167/POWER(1+'CALCULADORA TIS Pesos H-2'!$F$11,Flujos!$B167/365))</f>
        <v>0</v>
      </c>
      <c r="I167" s="39">
        <f t="shared" si="19"/>
        <v>48262</v>
      </c>
      <c r="J167" s="40">
        <v>165</v>
      </c>
      <c r="K167" s="41">
        <f t="shared" si="22"/>
        <v>5021</v>
      </c>
      <c r="L167" s="42">
        <f t="shared" si="23"/>
        <v>1.0365620255470276E-06</v>
      </c>
      <c r="M167" s="43">
        <f t="shared" si="24"/>
        <v>0</v>
      </c>
      <c r="N167" s="43">
        <f t="shared" si="25"/>
        <v>6.096021272242069E-09</v>
      </c>
      <c r="O167" s="44">
        <f t="shared" si="26"/>
        <v>6.096021272242069E-09</v>
      </c>
    </row>
    <row r="168" spans="1:15" ht="12.75">
      <c r="A168" s="170">
        <v>48291</v>
      </c>
      <c r="B168" s="35">
        <f>IF(DIAS365('CALCULADORA TIS Pesos H-2'!$E$6,A168)&lt;0,0,DIAS365('CALCULADORA TIS Pesos H-2'!$E$6,A168))</f>
        <v>3040</v>
      </c>
      <c r="C168" s="36">
        <f>+HLOOKUP('CALCULADORA TIS Pesos H-2'!$E$4,Tablas!$B$1:$B$181,Flujos!J168+1,FALSE)</f>
        <v>0</v>
      </c>
      <c r="D168" s="76">
        <f t="shared" si="18"/>
        <v>0</v>
      </c>
      <c r="E168" s="37">
        <f t="shared" si="20"/>
        <v>0</v>
      </c>
      <c r="F168" s="37">
        <f>ROUND(D167*ROUND(((1+'CALCULADORA TIS Pesos H-2'!$C$14)^(1/12)-1),6),6)</f>
        <v>0</v>
      </c>
      <c r="G168" s="37">
        <f t="shared" si="21"/>
        <v>0</v>
      </c>
      <c r="H168" s="38">
        <f>IF($B168=0,0,G168/POWER(1+'CALCULADORA TIS Pesos H-2'!$F$11,Flujos!$B168/365))</f>
        <v>0</v>
      </c>
      <c r="I168" s="39">
        <f t="shared" si="19"/>
        <v>48291</v>
      </c>
      <c r="J168" s="40">
        <v>166</v>
      </c>
      <c r="K168" s="41">
        <f t="shared" si="22"/>
        <v>5049</v>
      </c>
      <c r="L168" s="42">
        <f t="shared" si="23"/>
        <v>1.0365620255470276E-06</v>
      </c>
      <c r="M168" s="43">
        <f t="shared" si="24"/>
        <v>0</v>
      </c>
      <c r="N168" s="43">
        <f t="shared" si="25"/>
        <v>6.096021272242069E-09</v>
      </c>
      <c r="O168" s="44">
        <f t="shared" si="26"/>
        <v>6.096021272242069E-09</v>
      </c>
    </row>
    <row r="169" spans="1:15" ht="12.75">
      <c r="A169" s="170">
        <v>48322</v>
      </c>
      <c r="B169" s="35">
        <f>IF(DIAS365('CALCULADORA TIS Pesos H-2'!$E$6,A169)&lt;0,0,DIAS365('CALCULADORA TIS Pesos H-2'!$E$6,A169))</f>
        <v>3071</v>
      </c>
      <c r="C169" s="36">
        <f>+HLOOKUP('CALCULADORA TIS Pesos H-2'!$E$4,Tablas!$B$1:$B$181,Flujos!J169+1,FALSE)</f>
        <v>0</v>
      </c>
      <c r="D169" s="76">
        <f t="shared" si="18"/>
        <v>0</v>
      </c>
      <c r="E169" s="37">
        <f t="shared" si="20"/>
        <v>0</v>
      </c>
      <c r="F169" s="37">
        <f>ROUND(D168*ROUND(((1+'CALCULADORA TIS Pesos H-2'!$C$14)^(1/12)-1),6),6)</f>
        <v>0</v>
      </c>
      <c r="G169" s="37">
        <f t="shared" si="21"/>
        <v>0</v>
      </c>
      <c r="H169" s="38">
        <f>IF($B169=0,0,G169/POWER(1+'CALCULADORA TIS Pesos H-2'!$F$11,Flujos!$B169/365))</f>
        <v>0</v>
      </c>
      <c r="I169" s="39">
        <f t="shared" si="19"/>
        <v>48322</v>
      </c>
      <c r="J169" s="40">
        <v>167</v>
      </c>
      <c r="K169" s="41">
        <f t="shared" si="22"/>
        <v>5080</v>
      </c>
      <c r="L169" s="42">
        <f t="shared" si="23"/>
        <v>1.0365620255470276E-06</v>
      </c>
      <c r="M169" s="43">
        <f t="shared" si="24"/>
        <v>0</v>
      </c>
      <c r="N169" s="43">
        <f t="shared" si="25"/>
        <v>6.096021272242069E-09</v>
      </c>
      <c r="O169" s="44">
        <f t="shared" si="26"/>
        <v>6.096021272242069E-09</v>
      </c>
    </row>
    <row r="170" spans="1:15" ht="12.75">
      <c r="A170" s="170">
        <v>48352</v>
      </c>
      <c r="B170" s="35">
        <f>IF(DIAS365('CALCULADORA TIS Pesos H-2'!$E$6,A170)&lt;0,0,DIAS365('CALCULADORA TIS Pesos H-2'!$E$6,A170))</f>
        <v>3101</v>
      </c>
      <c r="C170" s="36">
        <f>+HLOOKUP('CALCULADORA TIS Pesos H-2'!$E$4,Tablas!$B$1:$B$181,Flujos!J170+1,FALSE)</f>
        <v>0</v>
      </c>
      <c r="D170" s="76">
        <f t="shared" si="18"/>
        <v>0</v>
      </c>
      <c r="E170" s="37">
        <f t="shared" si="20"/>
        <v>0</v>
      </c>
      <c r="F170" s="37">
        <f>ROUND(D169*ROUND(((1+'CALCULADORA TIS Pesos H-2'!$C$14)^(1/12)-1),6),6)</f>
        <v>0</v>
      </c>
      <c r="G170" s="37">
        <f t="shared" si="21"/>
        <v>0</v>
      </c>
      <c r="H170" s="38">
        <f>IF($B170=0,0,G170/POWER(1+'CALCULADORA TIS Pesos H-2'!$F$11,Flujos!$B170/365))</f>
        <v>0</v>
      </c>
      <c r="I170" s="39">
        <f t="shared" si="19"/>
        <v>48352</v>
      </c>
      <c r="J170" s="40">
        <v>168</v>
      </c>
      <c r="K170" s="41">
        <f t="shared" si="22"/>
        <v>5110</v>
      </c>
      <c r="L170" s="42">
        <f t="shared" si="23"/>
        <v>1.0365620255470276E-06</v>
      </c>
      <c r="M170" s="43">
        <f t="shared" si="24"/>
        <v>0</v>
      </c>
      <c r="N170" s="43">
        <f t="shared" si="25"/>
        <v>6.096021272242069E-09</v>
      </c>
      <c r="O170" s="44">
        <f t="shared" si="26"/>
        <v>6.096021272242069E-09</v>
      </c>
    </row>
    <row r="171" spans="1:15" ht="12.75">
      <c r="A171" s="170">
        <v>48383</v>
      </c>
      <c r="B171" s="35">
        <f>IF(DIAS365('CALCULADORA TIS Pesos H-2'!$E$6,A171)&lt;0,0,DIAS365('CALCULADORA TIS Pesos H-2'!$E$6,A171))</f>
        <v>3132</v>
      </c>
      <c r="C171" s="36">
        <f>+HLOOKUP('CALCULADORA TIS Pesos H-2'!$E$4,Tablas!$B$1:$B$181,Flujos!J171+1,FALSE)</f>
        <v>0</v>
      </c>
      <c r="D171" s="76">
        <f t="shared" si="18"/>
        <v>0</v>
      </c>
      <c r="E171" s="37">
        <f t="shared" si="20"/>
        <v>0</v>
      </c>
      <c r="F171" s="37">
        <f>ROUND(D170*ROUND(((1+'CALCULADORA TIS Pesos H-2'!$C$14)^(1/12)-1),6),6)</f>
        <v>0</v>
      </c>
      <c r="G171" s="37">
        <f t="shared" si="21"/>
        <v>0</v>
      </c>
      <c r="H171" s="38">
        <f>IF($B171=0,0,G171/POWER(1+'CALCULADORA TIS Pesos H-2'!$F$11,Flujos!$B171/365))</f>
        <v>0</v>
      </c>
      <c r="I171" s="39">
        <f t="shared" si="19"/>
        <v>48383</v>
      </c>
      <c r="J171" s="40">
        <v>169</v>
      </c>
      <c r="K171" s="41">
        <f t="shared" si="22"/>
        <v>5141</v>
      </c>
      <c r="L171" s="42">
        <f t="shared" si="23"/>
        <v>1.0365620255470276E-06</v>
      </c>
      <c r="M171" s="43">
        <f t="shared" si="24"/>
        <v>0</v>
      </c>
      <c r="N171" s="43">
        <f t="shared" si="25"/>
        <v>6.096021272242069E-09</v>
      </c>
      <c r="O171" s="44">
        <f t="shared" si="26"/>
        <v>6.096021272242069E-09</v>
      </c>
    </row>
    <row r="172" spans="1:15" ht="12.75">
      <c r="A172" s="170">
        <v>48413</v>
      </c>
      <c r="B172" s="35">
        <f>IF(DIAS365('CALCULADORA TIS Pesos H-2'!$E$6,A172)&lt;0,0,DIAS365('CALCULADORA TIS Pesos H-2'!$E$6,A172))</f>
        <v>3162</v>
      </c>
      <c r="C172" s="36">
        <f>+HLOOKUP('CALCULADORA TIS Pesos H-2'!$E$4,Tablas!$B$1:$B$181,Flujos!J172+1,FALSE)</f>
        <v>0</v>
      </c>
      <c r="D172" s="76">
        <f t="shared" si="18"/>
        <v>0</v>
      </c>
      <c r="E172" s="37">
        <f t="shared" si="20"/>
        <v>0</v>
      </c>
      <c r="F172" s="37">
        <f>ROUND(D171*ROUND(((1+'CALCULADORA TIS Pesos H-2'!$C$14)^(1/12)-1),6),6)</f>
        <v>0</v>
      </c>
      <c r="G172" s="37">
        <f t="shared" si="21"/>
        <v>0</v>
      </c>
      <c r="H172" s="38">
        <f>IF($B172=0,0,G172/POWER(1+'CALCULADORA TIS Pesos H-2'!$F$11,Flujos!$B172/365))</f>
        <v>0</v>
      </c>
      <c r="I172" s="39">
        <f t="shared" si="19"/>
        <v>48413</v>
      </c>
      <c r="J172" s="40">
        <v>170</v>
      </c>
      <c r="K172" s="41">
        <f t="shared" si="22"/>
        <v>5171</v>
      </c>
      <c r="L172" s="42">
        <f t="shared" si="23"/>
        <v>1.0365620255470276E-06</v>
      </c>
      <c r="M172" s="43">
        <f t="shared" si="24"/>
        <v>0</v>
      </c>
      <c r="N172" s="43">
        <f t="shared" si="25"/>
        <v>6.096021272242069E-09</v>
      </c>
      <c r="O172" s="44">
        <f t="shared" si="26"/>
        <v>6.096021272242069E-09</v>
      </c>
    </row>
    <row r="173" spans="1:15" ht="12.75">
      <c r="A173" s="170">
        <v>48444</v>
      </c>
      <c r="B173" s="35">
        <f>IF(DIAS365('CALCULADORA TIS Pesos H-2'!$E$6,A173)&lt;0,0,DIAS365('CALCULADORA TIS Pesos H-2'!$E$6,A173))</f>
        <v>3193</v>
      </c>
      <c r="C173" s="36">
        <f>+HLOOKUP('CALCULADORA TIS Pesos H-2'!$E$4,Tablas!$B$1:$B$181,Flujos!J173+1,FALSE)</f>
        <v>0</v>
      </c>
      <c r="D173" s="76">
        <f t="shared" si="18"/>
        <v>0</v>
      </c>
      <c r="E173" s="37">
        <f t="shared" si="20"/>
        <v>0</v>
      </c>
      <c r="F173" s="37">
        <f>ROUND(D172*ROUND(((1+'CALCULADORA TIS Pesos H-2'!$C$14)^(1/12)-1),6),6)</f>
        <v>0</v>
      </c>
      <c r="G173" s="37">
        <f t="shared" si="21"/>
        <v>0</v>
      </c>
      <c r="H173" s="38">
        <f>IF($B173=0,0,G173/POWER(1+'CALCULADORA TIS Pesos H-2'!$F$11,Flujos!$B173/365))</f>
        <v>0</v>
      </c>
      <c r="I173" s="39">
        <f t="shared" si="19"/>
        <v>48444</v>
      </c>
      <c r="J173" s="40">
        <v>171</v>
      </c>
      <c r="K173" s="41">
        <f t="shared" si="22"/>
        <v>5202</v>
      </c>
      <c r="L173" s="42">
        <f t="shared" si="23"/>
        <v>1.0365620255470276E-06</v>
      </c>
      <c r="M173" s="43">
        <f t="shared" si="24"/>
        <v>0</v>
      </c>
      <c r="N173" s="43">
        <f t="shared" si="25"/>
        <v>6.096021272242069E-09</v>
      </c>
      <c r="O173" s="44">
        <f t="shared" si="26"/>
        <v>6.096021272242069E-09</v>
      </c>
    </row>
    <row r="174" spans="1:15" ht="12.75">
      <c r="A174" s="170">
        <v>48475</v>
      </c>
      <c r="B174" s="35">
        <f>IF(DIAS365('CALCULADORA TIS Pesos H-2'!$E$6,A174)&lt;0,0,DIAS365('CALCULADORA TIS Pesos H-2'!$E$6,A174))</f>
        <v>3224</v>
      </c>
      <c r="C174" s="36">
        <f>+HLOOKUP('CALCULADORA TIS Pesos H-2'!$E$4,Tablas!$B$1:$B$181,Flujos!J174+1,FALSE)</f>
        <v>0</v>
      </c>
      <c r="D174" s="76">
        <f t="shared" si="18"/>
        <v>0</v>
      </c>
      <c r="E174" s="37">
        <f t="shared" si="20"/>
        <v>0</v>
      </c>
      <c r="F174" s="37">
        <f>ROUND(D173*ROUND(((1+'CALCULADORA TIS Pesos H-2'!$C$14)^(1/12)-1),6),6)</f>
        <v>0</v>
      </c>
      <c r="G174" s="37">
        <f t="shared" si="21"/>
        <v>0</v>
      </c>
      <c r="H174" s="38">
        <f>IF($B174=0,0,G174/POWER(1+'CALCULADORA TIS Pesos H-2'!$F$11,Flujos!$B174/365))</f>
        <v>0</v>
      </c>
      <c r="I174" s="39">
        <f t="shared" si="19"/>
        <v>48475</v>
      </c>
      <c r="J174" s="40">
        <v>172</v>
      </c>
      <c r="K174" s="41">
        <f t="shared" si="22"/>
        <v>5233</v>
      </c>
      <c r="L174" s="42">
        <f t="shared" si="23"/>
        <v>1.0365620255470276E-06</v>
      </c>
      <c r="M174" s="43">
        <f t="shared" si="24"/>
        <v>0</v>
      </c>
      <c r="N174" s="43">
        <f t="shared" si="25"/>
        <v>6.096021272242069E-09</v>
      </c>
      <c r="O174" s="44">
        <f t="shared" si="26"/>
        <v>6.096021272242069E-09</v>
      </c>
    </row>
    <row r="175" spans="1:15" ht="12.75">
      <c r="A175" s="170">
        <v>48505</v>
      </c>
      <c r="B175" s="35">
        <f>IF(DIAS365('CALCULADORA TIS Pesos H-2'!$E$6,A175)&lt;0,0,DIAS365('CALCULADORA TIS Pesos H-2'!$E$6,A175))</f>
        <v>3254</v>
      </c>
      <c r="C175" s="36">
        <f>+HLOOKUP('CALCULADORA TIS Pesos H-2'!$E$4,Tablas!$B$1:$B$181,Flujos!J175+1,FALSE)</f>
        <v>0</v>
      </c>
      <c r="D175" s="76">
        <f t="shared" si="18"/>
        <v>0</v>
      </c>
      <c r="E175" s="37">
        <f t="shared" si="20"/>
        <v>0</v>
      </c>
      <c r="F175" s="37">
        <f>ROUND(D174*ROUND(((1+'CALCULADORA TIS Pesos H-2'!$C$14)^(1/12)-1),6),6)</f>
        <v>0</v>
      </c>
      <c r="G175" s="37">
        <f t="shared" si="21"/>
        <v>0</v>
      </c>
      <c r="H175" s="38">
        <f>IF($B175=0,0,G175/POWER(1+'CALCULADORA TIS Pesos H-2'!$F$11,Flujos!$B175/365))</f>
        <v>0</v>
      </c>
      <c r="I175" s="39">
        <f t="shared" si="19"/>
        <v>48505</v>
      </c>
      <c r="J175" s="40">
        <v>173</v>
      </c>
      <c r="K175" s="41">
        <f t="shared" si="22"/>
        <v>5263</v>
      </c>
      <c r="L175" s="42">
        <f t="shared" si="23"/>
        <v>1.0365620255470276E-06</v>
      </c>
      <c r="M175" s="43">
        <f t="shared" si="24"/>
        <v>0</v>
      </c>
      <c r="N175" s="43">
        <f t="shared" si="25"/>
        <v>6.096021272242069E-09</v>
      </c>
      <c r="O175" s="44">
        <f t="shared" si="26"/>
        <v>6.096021272242069E-09</v>
      </c>
    </row>
    <row r="176" spans="1:15" ht="12.75">
      <c r="A176" s="170">
        <v>48536</v>
      </c>
      <c r="B176" s="35">
        <f>IF(DIAS365('CALCULADORA TIS Pesos H-2'!$E$6,A176)&lt;0,0,DIAS365('CALCULADORA TIS Pesos H-2'!$E$6,A176))</f>
        <v>3285</v>
      </c>
      <c r="C176" s="36">
        <f>+HLOOKUP('CALCULADORA TIS Pesos H-2'!$E$4,Tablas!$B$1:$B$181,Flujos!J176+1,FALSE)</f>
        <v>0</v>
      </c>
      <c r="D176" s="76">
        <f t="shared" si="18"/>
        <v>0</v>
      </c>
      <c r="E176" s="37">
        <f t="shared" si="20"/>
        <v>0</v>
      </c>
      <c r="F176" s="37">
        <f>ROUND(D175*ROUND(((1+'CALCULADORA TIS Pesos H-2'!$C$14)^(1/12)-1),6),6)</f>
        <v>0</v>
      </c>
      <c r="G176" s="37">
        <f t="shared" si="21"/>
        <v>0</v>
      </c>
      <c r="H176" s="38">
        <f>IF($B176=0,0,G176/POWER(1+'CALCULADORA TIS Pesos H-2'!$F$11,Flujos!$B176/365))</f>
        <v>0</v>
      </c>
      <c r="I176" s="39">
        <f t="shared" si="19"/>
        <v>48536</v>
      </c>
      <c r="J176" s="40">
        <v>174</v>
      </c>
      <c r="K176" s="41">
        <f t="shared" si="22"/>
        <v>5294</v>
      </c>
      <c r="L176" s="42">
        <f t="shared" si="23"/>
        <v>1.0365620255470276E-06</v>
      </c>
      <c r="M176" s="43">
        <f t="shared" si="24"/>
        <v>0</v>
      </c>
      <c r="N176" s="43">
        <f t="shared" si="25"/>
        <v>6.096021272242069E-09</v>
      </c>
      <c r="O176" s="44">
        <f t="shared" si="26"/>
        <v>6.096021272242069E-09</v>
      </c>
    </row>
    <row r="177" spans="1:15" ht="12.75">
      <c r="A177" s="170">
        <v>48566</v>
      </c>
      <c r="B177" s="35">
        <f>IF(DIAS365('CALCULADORA TIS Pesos H-2'!$E$6,A177)&lt;0,0,DIAS365('CALCULADORA TIS Pesos H-2'!$E$6,A177))</f>
        <v>3315</v>
      </c>
      <c r="C177" s="36">
        <f>+HLOOKUP('CALCULADORA TIS Pesos H-2'!$E$4,Tablas!$B$1:$B$181,Flujos!J177+1,FALSE)</f>
        <v>0</v>
      </c>
      <c r="D177" s="76">
        <f t="shared" si="18"/>
        <v>0</v>
      </c>
      <c r="E177" s="37">
        <f t="shared" si="20"/>
        <v>0</v>
      </c>
      <c r="F177" s="37">
        <f>ROUND(D176*ROUND(((1+'CALCULADORA TIS Pesos H-2'!$C$14)^(1/12)-1),6),6)</f>
        <v>0</v>
      </c>
      <c r="G177" s="37">
        <f t="shared" si="21"/>
        <v>0</v>
      </c>
      <c r="H177" s="38">
        <f>IF($B177=0,0,G177/POWER(1+'CALCULADORA TIS Pesos H-2'!$F$11,Flujos!$B177/365))</f>
        <v>0</v>
      </c>
      <c r="I177" s="39">
        <f t="shared" si="19"/>
        <v>48566</v>
      </c>
      <c r="J177" s="40">
        <v>175</v>
      </c>
      <c r="K177" s="41">
        <f t="shared" si="22"/>
        <v>5324</v>
      </c>
      <c r="L177" s="42">
        <f t="shared" si="23"/>
        <v>1.0365620255470276E-06</v>
      </c>
      <c r="M177" s="43">
        <f t="shared" si="24"/>
        <v>0</v>
      </c>
      <c r="N177" s="43">
        <f t="shared" si="25"/>
        <v>6.096021272242069E-09</v>
      </c>
      <c r="O177" s="44">
        <f t="shared" si="26"/>
        <v>6.096021272242069E-09</v>
      </c>
    </row>
    <row r="178" spans="1:15" ht="12.75">
      <c r="A178" s="170">
        <v>48597</v>
      </c>
      <c r="B178" s="35">
        <f>IF(DIAS365('CALCULADORA TIS Pesos H-2'!$E$6,A178)&lt;0,0,DIAS365('CALCULADORA TIS Pesos H-2'!$E$6,A178))</f>
        <v>3346</v>
      </c>
      <c r="C178" s="36">
        <f>+HLOOKUP('CALCULADORA TIS Pesos H-2'!$E$4,Tablas!$B$1:$B$181,Flujos!J178+1,FALSE)</f>
        <v>0</v>
      </c>
      <c r="D178" s="76">
        <f t="shared" si="18"/>
        <v>0</v>
      </c>
      <c r="E178" s="37">
        <f t="shared" si="20"/>
        <v>0</v>
      </c>
      <c r="F178" s="37">
        <f>ROUND(D177*ROUND(((1+'CALCULADORA TIS Pesos H-2'!$C$14)^(1/12)-1),6),6)</f>
        <v>0</v>
      </c>
      <c r="G178" s="37">
        <f t="shared" si="21"/>
        <v>0</v>
      </c>
      <c r="H178" s="38">
        <f>IF($B178=0,0,G178/POWER(1+'CALCULADORA TIS Pesos H-2'!$F$11,Flujos!$B178/365))</f>
        <v>0</v>
      </c>
      <c r="I178" s="39">
        <f t="shared" si="19"/>
        <v>48597</v>
      </c>
      <c r="J178" s="40">
        <v>176</v>
      </c>
      <c r="K178" s="41">
        <f t="shared" si="22"/>
        <v>5355</v>
      </c>
      <c r="L178" s="42">
        <f t="shared" si="23"/>
        <v>1.0365620255470276E-06</v>
      </c>
      <c r="M178" s="43">
        <f t="shared" si="24"/>
        <v>0</v>
      </c>
      <c r="N178" s="43">
        <f t="shared" si="25"/>
        <v>6.096021272242069E-09</v>
      </c>
      <c r="O178" s="44">
        <f t="shared" si="26"/>
        <v>6.096021272242069E-09</v>
      </c>
    </row>
    <row r="179" spans="1:15" ht="12.75">
      <c r="A179" s="170">
        <v>48628</v>
      </c>
      <c r="B179" s="35">
        <f>IF(DIAS365('CALCULADORA TIS Pesos H-2'!$E$6,A179)&lt;0,0,DIAS365('CALCULADORA TIS Pesos H-2'!$E$6,A179))</f>
        <v>3377</v>
      </c>
      <c r="C179" s="36">
        <f>+HLOOKUP('CALCULADORA TIS Pesos H-2'!$E$4,Tablas!$B$1:$B$181,Flujos!J179+1,FALSE)</f>
        <v>0</v>
      </c>
      <c r="D179" s="76">
        <f t="shared" si="18"/>
        <v>0</v>
      </c>
      <c r="E179" s="37">
        <f t="shared" si="20"/>
        <v>0</v>
      </c>
      <c r="F179" s="37">
        <f>ROUND(D178*ROUND(((1+'CALCULADORA TIS Pesos H-2'!$C$14)^(1/12)-1),6),6)</f>
        <v>0</v>
      </c>
      <c r="G179" s="37">
        <f t="shared" si="21"/>
        <v>0</v>
      </c>
      <c r="H179" s="38">
        <f>IF($B179=0,0,G179/POWER(1+'CALCULADORA TIS Pesos H-2'!$F$11,Flujos!$B179/365))</f>
        <v>0</v>
      </c>
      <c r="I179" s="39">
        <f t="shared" si="19"/>
        <v>48628</v>
      </c>
      <c r="J179" s="40">
        <v>177</v>
      </c>
      <c r="K179" s="41">
        <f t="shared" si="22"/>
        <v>5386</v>
      </c>
      <c r="L179" s="42">
        <f t="shared" si="23"/>
        <v>1.0365620255470276E-06</v>
      </c>
      <c r="M179" s="43">
        <f t="shared" si="24"/>
        <v>0</v>
      </c>
      <c r="N179" s="43">
        <f t="shared" si="25"/>
        <v>6.096021272242069E-09</v>
      </c>
      <c r="O179" s="44">
        <f t="shared" si="26"/>
        <v>6.096021272242069E-09</v>
      </c>
    </row>
    <row r="180" spans="1:15" ht="12.75">
      <c r="A180" s="170">
        <v>48656</v>
      </c>
      <c r="B180" s="35">
        <f>IF(DIAS365('CALCULADORA TIS Pesos H-2'!$E$6,A180)&lt;0,0,DIAS365('CALCULADORA TIS Pesos H-2'!$E$6,A180))</f>
        <v>3405</v>
      </c>
      <c r="C180" s="36">
        <f>+HLOOKUP('CALCULADORA TIS Pesos H-2'!$E$4,Tablas!$B$1:$B$181,Flujos!J180+1,FALSE)</f>
        <v>0</v>
      </c>
      <c r="D180" s="76">
        <f t="shared" si="18"/>
        <v>0</v>
      </c>
      <c r="E180" s="37">
        <f t="shared" si="20"/>
        <v>0</v>
      </c>
      <c r="F180" s="37">
        <f>ROUND(D179*ROUND(((1+'CALCULADORA TIS Pesos H-2'!$C$14)^(1/12)-1),6),6)</f>
        <v>0</v>
      </c>
      <c r="G180" s="37">
        <f t="shared" si="21"/>
        <v>0</v>
      </c>
      <c r="H180" s="38">
        <f>IF($B180=0,0,G180/POWER(1+'CALCULADORA TIS Pesos H-2'!$F$11,Flujos!$B180/365))</f>
        <v>0</v>
      </c>
      <c r="I180" s="39">
        <f t="shared" si="19"/>
        <v>48656</v>
      </c>
      <c r="J180" s="40">
        <v>178</v>
      </c>
      <c r="K180" s="41">
        <f t="shared" si="22"/>
        <v>5414</v>
      </c>
      <c r="L180" s="42">
        <f t="shared" si="23"/>
        <v>1.0365620255470276E-06</v>
      </c>
      <c r="M180" s="43">
        <f t="shared" si="24"/>
        <v>0</v>
      </c>
      <c r="N180" s="43">
        <f t="shared" si="25"/>
        <v>6.096021272242069E-09</v>
      </c>
      <c r="O180" s="44">
        <f t="shared" si="26"/>
        <v>6.096021272242069E-09</v>
      </c>
    </row>
    <row r="181" spans="1:15" ht="12.75">
      <c r="A181" s="170">
        <v>48687</v>
      </c>
      <c r="B181" s="35">
        <f>IF(DIAS365('CALCULADORA TIS Pesos H-2'!$E$6,A181)&lt;0,0,DIAS365('CALCULADORA TIS Pesos H-2'!$E$6,A181))</f>
        <v>3436</v>
      </c>
      <c r="C181" s="36">
        <f>+HLOOKUP('CALCULADORA TIS Pesos H-2'!$E$4,Tablas!$B$1:$B$181,Flujos!J181+1,FALSE)</f>
        <v>0</v>
      </c>
      <c r="D181" s="76">
        <f t="shared" si="18"/>
        <v>0</v>
      </c>
      <c r="E181" s="37">
        <f t="shared" si="20"/>
        <v>0</v>
      </c>
      <c r="F181" s="37">
        <f>ROUND(D180*ROUND(((1+'CALCULADORA TIS Pesos H-2'!$C$14)^(1/12)-1),6),6)</f>
        <v>0</v>
      </c>
      <c r="G181" s="37">
        <f t="shared" si="21"/>
        <v>0</v>
      </c>
      <c r="H181" s="38">
        <f>IF($B181=0,0,G181/POWER(1+'CALCULADORA TIS Pesos H-2'!$F$11,Flujos!$B181/365))</f>
        <v>0</v>
      </c>
      <c r="I181" s="39">
        <f t="shared" si="19"/>
        <v>48687</v>
      </c>
      <c r="J181" s="40">
        <v>179</v>
      </c>
      <c r="K181" s="41">
        <f t="shared" si="22"/>
        <v>5445</v>
      </c>
      <c r="L181" s="42">
        <f t="shared" si="23"/>
        <v>1.0365620255470276E-06</v>
      </c>
      <c r="M181" s="43">
        <f t="shared" si="24"/>
        <v>0</v>
      </c>
      <c r="N181" s="43">
        <f t="shared" si="25"/>
        <v>6.096021272242069E-09</v>
      </c>
      <c r="O181" s="44">
        <f t="shared" si="26"/>
        <v>6.096021272242069E-09</v>
      </c>
    </row>
    <row r="182" spans="1:15" ht="13.5" thickBot="1">
      <c r="A182" s="170">
        <v>48717</v>
      </c>
      <c r="B182" s="35">
        <f>IF(DIAS365('CALCULADORA TIS Pesos H-2'!$E$6,A182)&lt;0,0,DIAS365('CALCULADORA TIS Pesos H-2'!$E$6,A182))</f>
        <v>3466</v>
      </c>
      <c r="C182" s="36">
        <f>+HLOOKUP('CALCULADORA TIS Pesos H-2'!$E$4,Tablas!$B$1:$B$181,Flujos!J182+1,FALSE)</f>
        <v>0</v>
      </c>
      <c r="D182" s="76">
        <f t="shared" si="18"/>
        <v>0</v>
      </c>
      <c r="E182" s="37">
        <f t="shared" si="20"/>
        <v>0</v>
      </c>
      <c r="F182" s="37">
        <f>ROUND(D181*ROUND(((1+'CALCULADORA TIS Pesos H-2'!$C$14)^(1/12)-1),6),6)</f>
        <v>0</v>
      </c>
      <c r="G182" s="37">
        <f t="shared" si="21"/>
        <v>0</v>
      </c>
      <c r="H182" s="38">
        <f>IF($B182=0,0,G182/POWER(1+'CALCULADORA TIS Pesos H-2'!$F$11,Flujos!$B182/365))</f>
        <v>0</v>
      </c>
      <c r="I182" s="45">
        <f t="shared" si="19"/>
        <v>48717</v>
      </c>
      <c r="J182" s="46">
        <v>180</v>
      </c>
      <c r="K182" s="47">
        <f t="shared" si="22"/>
        <v>5475</v>
      </c>
      <c r="L182" s="42">
        <f t="shared" si="23"/>
        <v>1.0365620255470276E-06</v>
      </c>
      <c r="M182" s="48">
        <f t="shared" si="24"/>
        <v>0</v>
      </c>
      <c r="N182" s="48">
        <f t="shared" si="25"/>
        <v>6.096021272242069E-09</v>
      </c>
      <c r="O182" s="49">
        <f t="shared" si="26"/>
        <v>6.096021272242069E-09</v>
      </c>
    </row>
    <row r="183" spans="1:15" ht="13.5" thickBot="1">
      <c r="A183" s="50"/>
      <c r="B183" s="51"/>
      <c r="C183" s="52">
        <f>+SUMIF(B2:B182,"&gt;0",C2:C182)</f>
        <v>0.27264491999999996</v>
      </c>
      <c r="D183" s="53"/>
      <c r="E183" s="54">
        <f>SUM(E2:E182)</f>
        <v>99.99999999999999</v>
      </c>
      <c r="F183" s="54">
        <f>SUM(F2:F182)</f>
        <v>27.511342999999982</v>
      </c>
      <c r="G183" s="54">
        <f>SUM(G2:G182)</f>
        <v>127.51134300000001</v>
      </c>
      <c r="H183" s="55">
        <f>SUM(H2:H182)</f>
        <v>26.23333783442901</v>
      </c>
      <c r="I183" s="56"/>
      <c r="L183" s="58" t="s">
        <v>36</v>
      </c>
      <c r="M183" s="59">
        <f>SUM(M2:M182)</f>
        <v>3667774187.760403</v>
      </c>
      <c r="N183" s="59">
        <f>SUM(N2:N182)</f>
        <v>1009054051.371286</v>
      </c>
      <c r="O183" s="60">
        <f>SUM(O2:O182)</f>
        <v>4676828239.131689</v>
      </c>
    </row>
  </sheetData>
  <sheetProtection password="C5F9" sheet="1"/>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H32"/>
  <sheetViews>
    <sheetView zoomScalePageLayoutView="0" workbookViewId="0" topLeftCell="A1">
      <selection activeCell="F36" sqref="F36"/>
    </sheetView>
  </sheetViews>
  <sheetFormatPr defaultColWidth="11.421875" defaultRowHeight="12.75"/>
  <cols>
    <col min="1" max="16384" width="11.421875" style="31" customWidth="1"/>
  </cols>
  <sheetData>
    <row r="1" spans="1:8" ht="12.75">
      <c r="A1" s="222" t="s">
        <v>47</v>
      </c>
      <c r="B1" s="223"/>
      <c r="C1" s="223"/>
      <c r="D1" s="223"/>
      <c r="E1" s="223"/>
      <c r="F1" s="223"/>
      <c r="G1" s="223"/>
      <c r="H1" s="223"/>
    </row>
    <row r="2" spans="1:8" ht="12.75">
      <c r="A2" s="223"/>
      <c r="B2" s="223"/>
      <c r="C2" s="223"/>
      <c r="D2" s="223"/>
      <c r="E2" s="223"/>
      <c r="F2" s="223"/>
      <c r="G2" s="223"/>
      <c r="H2" s="223"/>
    </row>
    <row r="3" spans="1:8" ht="12.75">
      <c r="A3" s="223"/>
      <c r="B3" s="223"/>
      <c r="C3" s="223"/>
      <c r="D3" s="223"/>
      <c r="E3" s="223"/>
      <c r="F3" s="223"/>
      <c r="G3" s="223"/>
      <c r="H3" s="223"/>
    </row>
    <row r="4" spans="1:8" ht="12.75">
      <c r="A4" s="223"/>
      <c r="B4" s="223"/>
      <c r="C4" s="223"/>
      <c r="D4" s="223"/>
      <c r="E4" s="223"/>
      <c r="F4" s="223"/>
      <c r="G4" s="223"/>
      <c r="H4" s="223"/>
    </row>
    <row r="5" spans="1:8" ht="12.75">
      <c r="A5" s="223"/>
      <c r="B5" s="223"/>
      <c r="C5" s="223"/>
      <c r="D5" s="223"/>
      <c r="E5" s="223"/>
      <c r="F5" s="223"/>
      <c r="G5" s="223"/>
      <c r="H5" s="223"/>
    </row>
    <row r="6" spans="1:8" ht="12.75">
      <c r="A6" s="223"/>
      <c r="B6" s="223"/>
      <c r="C6" s="223"/>
      <c r="D6" s="223"/>
      <c r="E6" s="223"/>
      <c r="F6" s="223"/>
      <c r="G6" s="223"/>
      <c r="H6" s="223"/>
    </row>
    <row r="7" spans="1:8" ht="12.75">
      <c r="A7" s="223"/>
      <c r="B7" s="223"/>
      <c r="C7" s="223"/>
      <c r="D7" s="223"/>
      <c r="E7" s="223"/>
      <c r="F7" s="223"/>
      <c r="G7" s="223"/>
      <c r="H7" s="223"/>
    </row>
    <row r="8" spans="1:8" ht="12.75">
      <c r="A8" s="223"/>
      <c r="B8" s="223"/>
      <c r="C8" s="223"/>
      <c r="D8" s="223"/>
      <c r="E8" s="223"/>
      <c r="F8" s="223"/>
      <c r="G8" s="223"/>
      <c r="H8" s="223"/>
    </row>
    <row r="9" spans="1:8" ht="12.75">
      <c r="A9" s="223"/>
      <c r="B9" s="223"/>
      <c r="C9" s="223"/>
      <c r="D9" s="223"/>
      <c r="E9" s="223"/>
      <c r="F9" s="223"/>
      <c r="G9" s="223"/>
      <c r="H9" s="223"/>
    </row>
    <row r="10" spans="1:8" ht="12.75">
      <c r="A10" s="223"/>
      <c r="B10" s="223"/>
      <c r="C10" s="223"/>
      <c r="D10" s="223"/>
      <c r="E10" s="223"/>
      <c r="F10" s="223"/>
      <c r="G10" s="223"/>
      <c r="H10" s="223"/>
    </row>
    <row r="11" spans="1:8" ht="12.75">
      <c r="A11" s="223"/>
      <c r="B11" s="223"/>
      <c r="C11" s="223"/>
      <c r="D11" s="223"/>
      <c r="E11" s="223"/>
      <c r="F11" s="223"/>
      <c r="G11" s="223"/>
      <c r="H11" s="223"/>
    </row>
    <row r="12" spans="1:8" ht="12.75">
      <c r="A12" s="223"/>
      <c r="B12" s="223"/>
      <c r="C12" s="223"/>
      <c r="D12" s="223"/>
      <c r="E12" s="223"/>
      <c r="F12" s="223"/>
      <c r="G12" s="223"/>
      <c r="H12" s="223"/>
    </row>
    <row r="13" spans="1:8" ht="12.75">
      <c r="A13" s="223"/>
      <c r="B13" s="223"/>
      <c r="C13" s="223"/>
      <c r="D13" s="223"/>
      <c r="E13" s="223"/>
      <c r="F13" s="223"/>
      <c r="G13" s="223"/>
      <c r="H13" s="223"/>
    </row>
    <row r="14" spans="1:8" ht="12.75">
      <c r="A14" s="223"/>
      <c r="B14" s="223"/>
      <c r="C14" s="223"/>
      <c r="D14" s="223"/>
      <c r="E14" s="223"/>
      <c r="F14" s="223"/>
      <c r="G14" s="223"/>
      <c r="H14" s="223"/>
    </row>
    <row r="16" ht="12.75">
      <c r="A16" s="32" t="s">
        <v>48</v>
      </c>
    </row>
    <row r="19" spans="1:8" ht="12.75">
      <c r="A19" s="224" t="s">
        <v>49</v>
      </c>
      <c r="B19" s="223"/>
      <c r="C19" s="223"/>
      <c r="D19" s="223"/>
      <c r="E19" s="223"/>
      <c r="F19" s="223"/>
      <c r="G19" s="223"/>
      <c r="H19" s="223"/>
    </row>
    <row r="20" spans="1:8" ht="12.75">
      <c r="A20" s="223"/>
      <c r="B20" s="223"/>
      <c r="C20" s="223"/>
      <c r="D20" s="223"/>
      <c r="E20" s="223"/>
      <c r="F20" s="223"/>
      <c r="G20" s="223"/>
      <c r="H20" s="223"/>
    </row>
    <row r="21" spans="1:8" ht="12.75">
      <c r="A21" s="223"/>
      <c r="B21" s="223"/>
      <c r="C21" s="223"/>
      <c r="D21" s="223"/>
      <c r="E21" s="223"/>
      <c r="F21" s="223"/>
      <c r="G21" s="223"/>
      <c r="H21" s="223"/>
    </row>
    <row r="22" spans="1:8" ht="12.75">
      <c r="A22" s="223"/>
      <c r="B22" s="223"/>
      <c r="C22" s="223"/>
      <c r="D22" s="223"/>
      <c r="E22" s="223"/>
      <c r="F22" s="223"/>
      <c r="G22" s="223"/>
      <c r="H22" s="223"/>
    </row>
    <row r="23" spans="1:8" ht="12.75">
      <c r="A23" s="223"/>
      <c r="B23" s="223"/>
      <c r="C23" s="223"/>
      <c r="D23" s="223"/>
      <c r="E23" s="223"/>
      <c r="F23" s="223"/>
      <c r="G23" s="223"/>
      <c r="H23" s="223"/>
    </row>
    <row r="24" spans="1:8" ht="12.75">
      <c r="A24" s="223"/>
      <c r="B24" s="223"/>
      <c r="C24" s="223"/>
      <c r="D24" s="223"/>
      <c r="E24" s="223"/>
      <c r="F24" s="223"/>
      <c r="G24" s="223"/>
      <c r="H24" s="223"/>
    </row>
    <row r="25" spans="1:8" ht="12.75">
      <c r="A25" s="223"/>
      <c r="B25" s="223"/>
      <c r="C25" s="223"/>
      <c r="D25" s="223"/>
      <c r="E25" s="223"/>
      <c r="F25" s="223"/>
      <c r="G25" s="223"/>
      <c r="H25" s="223"/>
    </row>
    <row r="26" spans="1:8" ht="12.75">
      <c r="A26" s="223"/>
      <c r="B26" s="223"/>
      <c r="C26" s="223"/>
      <c r="D26" s="223"/>
      <c r="E26" s="223"/>
      <c r="F26" s="223"/>
      <c r="G26" s="223"/>
      <c r="H26" s="223"/>
    </row>
    <row r="27" spans="1:8" ht="12.75">
      <c r="A27" s="223"/>
      <c r="B27" s="223"/>
      <c r="C27" s="223"/>
      <c r="D27" s="223"/>
      <c r="E27" s="223"/>
      <c r="F27" s="223"/>
      <c r="G27" s="223"/>
      <c r="H27" s="223"/>
    </row>
    <row r="28" spans="1:8" ht="12.75">
      <c r="A28" s="223"/>
      <c r="B28" s="223"/>
      <c r="C28" s="223"/>
      <c r="D28" s="223"/>
      <c r="E28" s="223"/>
      <c r="F28" s="223"/>
      <c r="G28" s="223"/>
      <c r="H28" s="223"/>
    </row>
    <row r="29" spans="1:8" ht="12.75">
      <c r="A29" s="223"/>
      <c r="B29" s="223"/>
      <c r="C29" s="223"/>
      <c r="D29" s="223"/>
      <c r="E29" s="223"/>
      <c r="F29" s="223"/>
      <c r="G29" s="223"/>
      <c r="H29" s="223"/>
    </row>
    <row r="30" spans="1:8" ht="12.75">
      <c r="A30" s="223"/>
      <c r="B30" s="223"/>
      <c r="C30" s="223"/>
      <c r="D30" s="223"/>
      <c r="E30" s="223"/>
      <c r="F30" s="223"/>
      <c r="G30" s="223"/>
      <c r="H30" s="223"/>
    </row>
    <row r="31" spans="1:8" ht="12.75">
      <c r="A31" s="223"/>
      <c r="B31" s="223"/>
      <c r="C31" s="223"/>
      <c r="D31" s="223"/>
      <c r="E31" s="223"/>
      <c r="F31" s="223"/>
      <c r="G31" s="223"/>
      <c r="H31" s="223"/>
    </row>
    <row r="32" spans="1:8" ht="12.75">
      <c r="A32" s="223"/>
      <c r="B32" s="223"/>
      <c r="C32" s="223"/>
      <c r="D32" s="223"/>
      <c r="E32" s="223"/>
      <c r="F32" s="223"/>
      <c r="G32" s="223"/>
      <c r="H32" s="223"/>
    </row>
  </sheetData>
  <sheetProtection/>
  <mergeCells count="2">
    <mergeCell ref="A1:H14"/>
    <mergeCell ref="A19:H32"/>
  </mergeCells>
  <hyperlinks>
    <hyperlink ref="A16" location="'CALCULADORA TIPS Pesos E-12'!C2" display="Volver"/>
  </hyperlink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5"/>
  <dimension ref="A1:B181"/>
  <sheetViews>
    <sheetView zoomScale="75" zoomScaleNormal="75" zoomScalePageLayoutView="0" workbookViewId="0" topLeftCell="A1">
      <selection activeCell="B4" sqref="B4"/>
    </sheetView>
  </sheetViews>
  <sheetFormatPr defaultColWidth="11.421875" defaultRowHeight="12.75"/>
  <cols>
    <col min="1" max="1" width="18.140625" style="27" customWidth="1"/>
    <col min="2" max="2" width="24.00390625" style="27" bestFit="1" customWidth="1"/>
    <col min="3" max="16384" width="11.421875" style="27" customWidth="1"/>
  </cols>
  <sheetData>
    <row r="1" spans="1:2" ht="13.5" thickBot="1">
      <c r="A1" s="71" t="s">
        <v>0</v>
      </c>
      <c r="B1" s="6" t="str">
        <f>+Características!$B$1</f>
        <v>TIS Pesos H-2 A 2028</v>
      </c>
    </row>
    <row r="2" spans="1:2" ht="12.75">
      <c r="A2" s="28">
        <f>+'Tabla de Amortizacion'!A3</f>
        <v>43269</v>
      </c>
      <c r="B2" s="97">
        <f>IF('CALCULADORA TIS Pesos H-2'!$F$10="Contractual",ROUND('Tabla de Amortizacion'!B3,15),IF('CALCULADORA TIS Pesos H-2'!$F$10="6% (Medio)",ROUND('Tabla de Amortizacion'!D3,15),IF('CALCULADORA TIS Pesos H-2'!$F$10="10% (Medio Alto)",ROUND('Tabla de Amortizacion'!F3,15),IF('CALCULADORA TIS Pesos H-2'!$F$10="14% (Alto)",ROUND('Tabla de Amortizacion'!H3,15),IF('CALCULADORA TIS Pesos H-2'!$F$10="20%_",ROUND('Tabla de Amortizacion'!J3,15),ROUND('Tabla de Amortizacion'!L3,15))))))</f>
        <v>0.00852759</v>
      </c>
    </row>
    <row r="3" spans="1:2" ht="12.75">
      <c r="A3" s="29">
        <f aca="true" t="shared" si="0" ref="A3:A34">_XLL.FECHA.MES(A2,1)</f>
        <v>43299</v>
      </c>
      <c r="B3" s="97">
        <f>IF('CALCULADORA TIS Pesos H-2'!$F$10="Contractual",ROUND('Tabla de Amortizacion'!B4,15),IF('CALCULADORA TIS Pesos H-2'!$F$10="6% (Medio)",ROUND('Tabla de Amortizacion'!D4,15),IF('CALCULADORA TIS Pesos H-2'!$F$10="10% (Medio Alto)",ROUND('Tabla de Amortizacion'!F4,15),IF('CALCULADORA TIS Pesos H-2'!$F$10="14% (Alto)",ROUND('Tabla de Amortizacion'!H4,15),IF('CALCULADORA TIS Pesos H-2'!$F$10="20%_",ROUND('Tabla de Amortizacion'!J4,15),ROUND('Tabla de Amortizacion'!L4,15))))))</f>
        <v>0.00723951</v>
      </c>
    </row>
    <row r="4" spans="1:2" ht="12.75">
      <c r="A4" s="29">
        <f t="shared" si="0"/>
        <v>43330</v>
      </c>
      <c r="B4" s="97">
        <f>IF('CALCULADORA TIS Pesos H-2'!$F$10="Contractual",ROUND('Tabla de Amortizacion'!B5,15),IF('CALCULADORA TIS Pesos H-2'!$F$10="6% (Medio)",ROUND('Tabla de Amortizacion'!D5,15),IF('CALCULADORA TIS Pesos H-2'!$F$10="10% (Medio Alto)",ROUND('Tabla de Amortizacion'!F5,15),IF('CALCULADORA TIS Pesos H-2'!$F$10="14% (Alto)",ROUND('Tabla de Amortizacion'!H5,15),IF('CALCULADORA TIS Pesos H-2'!$F$10="20%_",ROUND('Tabla de Amortizacion'!J5,15),ROUND('Tabla de Amortizacion'!L5,15))))))</f>
        <v>0.01197496</v>
      </c>
    </row>
    <row r="5" spans="1:2" ht="12.75">
      <c r="A5" s="29">
        <f t="shared" si="0"/>
        <v>43361</v>
      </c>
      <c r="B5" s="97">
        <f>IF('CALCULADORA TIS Pesos H-2'!$F$10="Contractual",ROUND('Tabla de Amortizacion'!B6,15),IF('CALCULADORA TIS Pesos H-2'!$F$10="6% (Medio)",ROUND('Tabla de Amortizacion'!D6,15),IF('CALCULADORA TIS Pesos H-2'!$F$10="10% (Medio Alto)",ROUND('Tabla de Amortizacion'!F6,15),IF('CALCULADORA TIS Pesos H-2'!$F$10="14% (Alto)",ROUND('Tabla de Amortizacion'!H6,15),IF('CALCULADORA TIS Pesos H-2'!$F$10="20%_",ROUND('Tabla de Amortizacion'!J6,15),ROUND('Tabla de Amortizacion'!L6,15))))))</f>
        <v>0.01073998</v>
      </c>
    </row>
    <row r="6" spans="1:2" ht="12.75">
      <c r="A6" s="29">
        <f t="shared" si="0"/>
        <v>43391</v>
      </c>
      <c r="B6" s="97">
        <f>IF('CALCULADORA TIS Pesos H-2'!$F$10="Contractual",ROUND('Tabla de Amortizacion'!B7,15),IF('CALCULADORA TIS Pesos H-2'!$F$10="6% (Medio)",ROUND('Tabla de Amortizacion'!D7,15),IF('CALCULADORA TIS Pesos H-2'!$F$10="10% (Medio Alto)",ROUND('Tabla de Amortizacion'!F7,15),IF('CALCULADORA TIS Pesos H-2'!$F$10="14% (Alto)",ROUND('Tabla de Amortizacion'!H7,15),IF('CALCULADORA TIS Pesos H-2'!$F$10="20%_",ROUND('Tabla de Amortizacion'!J7,15),ROUND('Tabla de Amortizacion'!L7,15))))))</f>
        <v>0.00884823</v>
      </c>
    </row>
    <row r="7" spans="1:2" ht="12.75">
      <c r="A7" s="29">
        <f t="shared" si="0"/>
        <v>43422</v>
      </c>
      <c r="B7" s="97">
        <f>IF('CALCULADORA TIS Pesos H-2'!$F$10="Contractual",ROUND('Tabla de Amortizacion'!B8,15),IF('CALCULADORA TIS Pesos H-2'!$F$10="6% (Medio)",ROUND('Tabla de Amortizacion'!D8,15),IF('CALCULADORA TIS Pesos H-2'!$F$10="10% (Medio Alto)",ROUND('Tabla de Amortizacion'!F8,15),IF('CALCULADORA TIS Pesos H-2'!$F$10="14% (Alto)",ROUND('Tabla de Amortizacion'!H8,15),IF('CALCULADORA TIS Pesos H-2'!$F$10="20%_",ROUND('Tabla de Amortizacion'!J8,15),ROUND('Tabla de Amortizacion'!L8,15))))))</f>
        <v>0.00865193</v>
      </c>
    </row>
    <row r="8" spans="1:2" ht="12.75">
      <c r="A8" s="29">
        <f t="shared" si="0"/>
        <v>43452</v>
      </c>
      <c r="B8" s="97">
        <f>IF('CALCULADORA TIS Pesos H-2'!$F$10="Contractual",ROUND('Tabla de Amortizacion'!B9,15),IF('CALCULADORA TIS Pesos H-2'!$F$10="6% (Medio)",ROUND('Tabla de Amortizacion'!D9,15),IF('CALCULADORA TIS Pesos H-2'!$F$10="10% (Medio Alto)",ROUND('Tabla de Amortizacion'!F9,15),IF('CALCULADORA TIS Pesos H-2'!$F$10="14% (Alto)",ROUND('Tabla de Amortizacion'!H9,15),IF('CALCULADORA TIS Pesos H-2'!$F$10="20%_",ROUND('Tabla de Amortizacion'!J9,15),ROUND('Tabla de Amortizacion'!L9,15))))))</f>
        <v>0.02201505</v>
      </c>
    </row>
    <row r="9" spans="1:2" ht="12.75">
      <c r="A9" s="29">
        <f t="shared" si="0"/>
        <v>43483</v>
      </c>
      <c r="B9" s="97">
        <f>IF('CALCULADORA TIS Pesos H-2'!$F$10="Contractual",ROUND('Tabla de Amortizacion'!B10,15),IF('CALCULADORA TIS Pesos H-2'!$F$10="6% (Medio)",ROUND('Tabla de Amortizacion'!D10,15),IF('CALCULADORA TIS Pesos H-2'!$F$10="10% (Medio Alto)",ROUND('Tabla de Amortizacion'!F10,15),IF('CALCULADORA TIS Pesos H-2'!$F$10="14% (Alto)",ROUND('Tabla de Amortizacion'!H10,15),IF('CALCULADORA TIS Pesos H-2'!$F$10="20%_",ROUND('Tabla de Amortizacion'!J10,15),ROUND('Tabla de Amortizacion'!L10,15))))))</f>
        <v>0.01252877</v>
      </c>
    </row>
    <row r="10" spans="1:2" ht="12.75">
      <c r="A10" s="29">
        <f t="shared" si="0"/>
        <v>43514</v>
      </c>
      <c r="B10" s="97">
        <f>IF('CALCULADORA TIS Pesos H-2'!$F$10="Contractual",ROUND('Tabla de Amortizacion'!B11,15),IF('CALCULADORA TIS Pesos H-2'!$F$10="6% (Medio)",ROUND('Tabla de Amortizacion'!D11,15),IF('CALCULADORA TIS Pesos H-2'!$F$10="10% (Medio Alto)",ROUND('Tabla de Amortizacion'!F11,15),IF('CALCULADORA TIS Pesos H-2'!$F$10="14% (Alto)",ROUND('Tabla de Amortizacion'!H11,15),IF('CALCULADORA TIS Pesos H-2'!$F$10="20%_",ROUND('Tabla de Amortizacion'!J11,15),ROUND('Tabla de Amortizacion'!L11,15))))))</f>
        <v>0.01046112</v>
      </c>
    </row>
    <row r="11" spans="1:2" ht="12.75">
      <c r="A11" s="29">
        <f t="shared" si="0"/>
        <v>43542</v>
      </c>
      <c r="B11" s="97">
        <f>IF('CALCULADORA TIS Pesos H-2'!$F$10="Contractual",ROUND('Tabla de Amortizacion'!B12,15),IF('CALCULADORA TIS Pesos H-2'!$F$10="6% (Medio)",ROUND('Tabla de Amortizacion'!D12,15),IF('CALCULADORA TIS Pesos H-2'!$F$10="10% (Medio Alto)",ROUND('Tabla de Amortizacion'!F12,15),IF('CALCULADORA TIS Pesos H-2'!$F$10="14% (Alto)",ROUND('Tabla de Amortizacion'!H12,15),IF('CALCULADORA TIS Pesos H-2'!$F$10="20%_",ROUND('Tabla de Amortizacion'!J12,15),ROUND('Tabla de Amortizacion'!L12,15))))))</f>
        <v>0.01183189</v>
      </c>
    </row>
    <row r="12" spans="1:2" ht="12.75">
      <c r="A12" s="29">
        <f t="shared" si="0"/>
        <v>43573</v>
      </c>
      <c r="B12" s="97">
        <f>IF('CALCULADORA TIS Pesos H-2'!$F$10="Contractual",ROUND('Tabla de Amortizacion'!B13,15),IF('CALCULADORA TIS Pesos H-2'!$F$10="6% (Medio)",ROUND('Tabla de Amortizacion'!D13,15),IF('CALCULADORA TIS Pesos H-2'!$F$10="10% (Medio Alto)",ROUND('Tabla de Amortizacion'!F13,15),IF('CALCULADORA TIS Pesos H-2'!$F$10="14% (Alto)",ROUND('Tabla de Amortizacion'!H13,15),IF('CALCULADORA TIS Pesos H-2'!$F$10="20%_",ROUND('Tabla de Amortizacion'!J13,15),ROUND('Tabla de Amortizacion'!L13,15))))))</f>
        <v>0.01248592</v>
      </c>
    </row>
    <row r="13" spans="1:2" ht="12.75">
      <c r="A13" s="29">
        <f t="shared" si="0"/>
        <v>43603</v>
      </c>
      <c r="B13" s="97">
        <f>IF('CALCULADORA TIS Pesos H-2'!$F$10="Contractual",ROUND('Tabla de Amortizacion'!B14,15),IF('CALCULADORA TIS Pesos H-2'!$F$10="6% (Medio)",ROUND('Tabla de Amortizacion'!D14,15),IF('CALCULADORA TIS Pesos H-2'!$F$10="10% (Medio Alto)",ROUND('Tabla de Amortizacion'!F14,15),IF('CALCULADORA TIS Pesos H-2'!$F$10="14% (Alto)",ROUND('Tabla de Amortizacion'!H14,15),IF('CALCULADORA TIS Pesos H-2'!$F$10="20%_",ROUND('Tabla de Amortizacion'!J14,15),ROUND('Tabla de Amortizacion'!L14,15))))))</f>
        <v>0.01136195</v>
      </c>
    </row>
    <row r="14" spans="1:2" ht="12.75">
      <c r="A14" s="29">
        <f t="shared" si="0"/>
        <v>43634</v>
      </c>
      <c r="B14" s="97">
        <f>IF('CALCULADORA TIS Pesos H-2'!$F$10="Contractual",ROUND('Tabla de Amortizacion'!B15,15),IF('CALCULADORA TIS Pesos H-2'!$F$10="6% (Medio)",ROUND('Tabla de Amortizacion'!D15,15),IF('CALCULADORA TIS Pesos H-2'!$F$10="10% (Medio Alto)",ROUND('Tabla de Amortizacion'!F15,15),IF('CALCULADORA TIS Pesos H-2'!$F$10="14% (Alto)",ROUND('Tabla de Amortizacion'!H15,15),IF('CALCULADORA TIS Pesos H-2'!$F$10="20%_",ROUND('Tabla de Amortizacion'!J15,15),ROUND('Tabla de Amortizacion'!L15,15))))))</f>
        <v>0.00895034</v>
      </c>
    </row>
    <row r="15" spans="1:2" ht="12.75">
      <c r="A15" s="29">
        <f t="shared" si="0"/>
        <v>43664</v>
      </c>
      <c r="B15" s="97">
        <f>IF('CALCULADORA TIS Pesos H-2'!$F$10="Contractual",ROUND('Tabla de Amortizacion'!B16,15),IF('CALCULADORA TIS Pesos H-2'!$F$10="6% (Medio)",ROUND('Tabla de Amortizacion'!D16,15),IF('CALCULADORA TIS Pesos H-2'!$F$10="10% (Medio Alto)",ROUND('Tabla de Amortizacion'!F16,15),IF('CALCULADORA TIS Pesos H-2'!$F$10="14% (Alto)",ROUND('Tabla de Amortizacion'!H16,15),IF('CALCULADORA TIS Pesos H-2'!$F$10="20%_",ROUND('Tabla de Amortizacion'!J16,15),ROUND('Tabla de Amortizacion'!L16,15))))))</f>
        <v>0.00996476</v>
      </c>
    </row>
    <row r="16" spans="1:2" ht="12.75">
      <c r="A16" s="29">
        <f t="shared" si="0"/>
        <v>43695</v>
      </c>
      <c r="B16" s="97">
        <f>IF('CALCULADORA TIS Pesos H-2'!$F$10="Contractual",ROUND('Tabla de Amortizacion'!B17,15),IF('CALCULADORA TIS Pesos H-2'!$F$10="6% (Medio)",ROUND('Tabla de Amortizacion'!D17,15),IF('CALCULADORA TIS Pesos H-2'!$F$10="10% (Medio Alto)",ROUND('Tabla de Amortizacion'!F17,15),IF('CALCULADORA TIS Pesos H-2'!$F$10="14% (Alto)",ROUND('Tabla de Amortizacion'!H17,15),IF('CALCULADORA TIS Pesos H-2'!$F$10="20%_",ROUND('Tabla de Amortizacion'!J17,15),ROUND('Tabla de Amortizacion'!L17,15))))))</f>
        <v>0.01311297</v>
      </c>
    </row>
    <row r="17" spans="1:2" ht="12.75">
      <c r="A17" s="29">
        <f t="shared" si="0"/>
        <v>43726</v>
      </c>
      <c r="B17" s="97">
        <f>IF('CALCULADORA TIS Pesos H-2'!$F$10="Contractual",ROUND('Tabla de Amortizacion'!B18,15),IF('CALCULADORA TIS Pesos H-2'!$F$10="6% (Medio)",ROUND('Tabla de Amortizacion'!D18,15),IF('CALCULADORA TIS Pesos H-2'!$F$10="10% (Medio Alto)",ROUND('Tabla de Amortizacion'!F18,15),IF('CALCULADORA TIS Pesos H-2'!$F$10="14% (Alto)",ROUND('Tabla de Amortizacion'!H18,15),IF('CALCULADORA TIS Pesos H-2'!$F$10="20%_",ROUND('Tabla de Amortizacion'!J18,15),ROUND('Tabla de Amortizacion'!L18,15))))))</f>
        <v>0.01009979</v>
      </c>
    </row>
    <row r="18" spans="1:2" ht="12.75">
      <c r="A18" s="29">
        <f t="shared" si="0"/>
        <v>43756</v>
      </c>
      <c r="B18" s="97">
        <f>IF('CALCULADORA TIS Pesos H-2'!$F$10="Contractual",ROUND('Tabla de Amortizacion'!B19,15),IF('CALCULADORA TIS Pesos H-2'!$F$10="6% (Medio)",ROUND('Tabla de Amortizacion'!D19,15),IF('CALCULADORA TIS Pesos H-2'!$F$10="10% (Medio Alto)",ROUND('Tabla de Amortizacion'!F19,15),IF('CALCULADORA TIS Pesos H-2'!$F$10="14% (Alto)",ROUND('Tabla de Amortizacion'!H19,15),IF('CALCULADORA TIS Pesos H-2'!$F$10="20%_",ROUND('Tabla de Amortizacion'!J19,15),ROUND('Tabla de Amortizacion'!L19,15))))))</f>
        <v>0.01541992</v>
      </c>
    </row>
    <row r="19" spans="1:2" ht="12.75">
      <c r="A19" s="29">
        <f t="shared" si="0"/>
        <v>43787</v>
      </c>
      <c r="B19" s="97">
        <f>IF('CALCULADORA TIS Pesos H-2'!$F$10="Contractual",ROUND('Tabla de Amortizacion'!B20,15),IF('CALCULADORA TIS Pesos H-2'!$F$10="6% (Medio)",ROUND('Tabla de Amortizacion'!D20,15),IF('CALCULADORA TIS Pesos H-2'!$F$10="10% (Medio Alto)",ROUND('Tabla de Amortizacion'!F20,15),IF('CALCULADORA TIS Pesos H-2'!$F$10="14% (Alto)",ROUND('Tabla de Amortizacion'!H20,15),IF('CALCULADORA TIS Pesos H-2'!$F$10="20%_",ROUND('Tabla de Amortizacion'!J20,15),ROUND('Tabla de Amortizacion'!L20,15))))))</f>
        <v>0.00956318</v>
      </c>
    </row>
    <row r="20" spans="1:2" ht="12.75">
      <c r="A20" s="29">
        <f t="shared" si="0"/>
        <v>43817</v>
      </c>
      <c r="B20" s="97">
        <f>IF('CALCULADORA TIS Pesos H-2'!$F$10="Contractual",ROUND('Tabla de Amortizacion'!B21,15),IF('CALCULADORA TIS Pesos H-2'!$F$10="6% (Medio)",ROUND('Tabla de Amortizacion'!D21,15),IF('CALCULADORA TIS Pesos H-2'!$F$10="10% (Medio Alto)",ROUND('Tabla de Amortizacion'!F21,15),IF('CALCULADORA TIS Pesos H-2'!$F$10="14% (Alto)",ROUND('Tabla de Amortizacion'!H21,15),IF('CALCULADORA TIS Pesos H-2'!$F$10="20%_",ROUND('Tabla de Amortizacion'!J21,15),ROUND('Tabla de Amortizacion'!L21,15))))))</f>
        <v>0.0098829</v>
      </c>
    </row>
    <row r="21" spans="1:2" ht="12.75">
      <c r="A21" s="29">
        <f t="shared" si="0"/>
        <v>43848</v>
      </c>
      <c r="B21" s="97">
        <f>IF('CALCULADORA TIS Pesos H-2'!$F$10="Contractual",ROUND('Tabla de Amortizacion'!B22,15),IF('CALCULADORA TIS Pesos H-2'!$F$10="6% (Medio)",ROUND('Tabla de Amortizacion'!D22,15),IF('CALCULADORA TIS Pesos H-2'!$F$10="10% (Medio Alto)",ROUND('Tabla de Amortizacion'!F22,15),IF('CALCULADORA TIS Pesos H-2'!$F$10="14% (Alto)",ROUND('Tabla de Amortizacion'!H22,15),IF('CALCULADORA TIS Pesos H-2'!$F$10="20%_",ROUND('Tabla de Amortizacion'!J22,15),ROUND('Tabla de Amortizacion'!L22,15))))))</f>
        <v>0.01306335</v>
      </c>
    </row>
    <row r="22" spans="1:2" ht="12.75">
      <c r="A22" s="29">
        <f t="shared" si="0"/>
        <v>43879</v>
      </c>
      <c r="B22" s="97">
        <f>IF('CALCULADORA TIS Pesos H-2'!$F$10="Contractual",ROUND('Tabla de Amortizacion'!B23,15),IF('CALCULADORA TIS Pesos H-2'!$F$10="6% (Medio)",ROUND('Tabla de Amortizacion'!D23,15),IF('CALCULADORA TIS Pesos H-2'!$F$10="10% (Medio Alto)",ROUND('Tabla de Amortizacion'!F23,15),IF('CALCULADORA TIS Pesos H-2'!$F$10="14% (Alto)",ROUND('Tabla de Amortizacion'!H23,15),IF('CALCULADORA TIS Pesos H-2'!$F$10="20%_",ROUND('Tabla de Amortizacion'!J23,15),ROUND('Tabla de Amortizacion'!L23,15))))))</f>
        <v>0.01267342</v>
      </c>
    </row>
    <row r="23" spans="1:2" ht="12.75">
      <c r="A23" s="29">
        <f t="shared" si="0"/>
        <v>43908</v>
      </c>
      <c r="B23" s="97">
        <f>IF('CALCULADORA TIS Pesos H-2'!$F$10="Contractual",ROUND('Tabla de Amortizacion'!B24,15),IF('CALCULADORA TIS Pesos H-2'!$F$10="6% (Medio)",ROUND('Tabla de Amortizacion'!D24,15),IF('CALCULADORA TIS Pesos H-2'!$F$10="10% (Medio Alto)",ROUND('Tabla de Amortizacion'!F24,15),IF('CALCULADORA TIS Pesos H-2'!$F$10="14% (Alto)",ROUND('Tabla de Amortizacion'!H24,15),IF('CALCULADORA TIS Pesos H-2'!$F$10="20%_",ROUND('Tabla de Amortizacion'!J24,15),ROUND('Tabla de Amortizacion'!L24,15))))))</f>
        <v>0.01243269</v>
      </c>
    </row>
    <row r="24" spans="1:2" ht="12.75">
      <c r="A24" s="29">
        <f t="shared" si="0"/>
        <v>43939</v>
      </c>
      <c r="B24" s="97">
        <f>IF('CALCULADORA TIS Pesos H-2'!$F$10="Contractual",ROUND('Tabla de Amortizacion'!B25,15),IF('CALCULADORA TIS Pesos H-2'!$F$10="6% (Medio)",ROUND('Tabla de Amortizacion'!D25,15),IF('CALCULADORA TIS Pesos H-2'!$F$10="10% (Medio Alto)",ROUND('Tabla de Amortizacion'!F25,15),IF('CALCULADORA TIS Pesos H-2'!$F$10="14% (Alto)",ROUND('Tabla de Amortizacion'!H25,15),IF('CALCULADORA TIS Pesos H-2'!$F$10="20%_",ROUND('Tabla de Amortizacion'!J25,15),ROUND('Tabla de Amortizacion'!L25,15))))))</f>
        <v>0.00323761</v>
      </c>
    </row>
    <row r="25" spans="1:2" ht="12.75">
      <c r="A25" s="29">
        <f t="shared" si="0"/>
        <v>43969</v>
      </c>
      <c r="B25" s="97">
        <f>IF('CALCULADORA TIS Pesos H-2'!$F$10="Contractual",ROUND('Tabla de Amortizacion'!B26,15),IF('CALCULADORA TIS Pesos H-2'!$F$10="6% (Medio)",ROUND('Tabla de Amortizacion'!D26,15),IF('CALCULADORA TIS Pesos H-2'!$F$10="10% (Medio Alto)",ROUND('Tabla de Amortizacion'!F26,15),IF('CALCULADORA TIS Pesos H-2'!$F$10="14% (Alto)",ROUND('Tabla de Amortizacion'!H26,15),IF('CALCULADORA TIS Pesos H-2'!$F$10="20%_",ROUND('Tabla de Amortizacion'!J26,15),ROUND('Tabla de Amortizacion'!L26,15))))))</f>
        <v>0.00549995</v>
      </c>
    </row>
    <row r="26" spans="1:2" ht="12.75">
      <c r="A26" s="29">
        <f t="shared" si="0"/>
        <v>44000</v>
      </c>
      <c r="B26" s="97">
        <f>IF('CALCULADORA TIS Pesos H-2'!$F$10="Contractual",ROUND('Tabla de Amortizacion'!B27,15),IF('CALCULADORA TIS Pesos H-2'!$F$10="6% (Medio)",ROUND('Tabla de Amortizacion'!D27,15),IF('CALCULADORA TIS Pesos H-2'!$F$10="10% (Medio Alto)",ROUND('Tabla de Amortizacion'!F27,15),IF('CALCULADORA TIS Pesos H-2'!$F$10="14% (Alto)",ROUND('Tabla de Amortizacion'!H27,15),IF('CALCULADORA TIS Pesos H-2'!$F$10="20%_",ROUND('Tabla de Amortizacion'!J27,15),ROUND('Tabla de Amortizacion'!L27,15))))))</f>
        <v>0.00559362</v>
      </c>
    </row>
    <row r="27" spans="1:2" ht="12.75">
      <c r="A27" s="29">
        <f t="shared" si="0"/>
        <v>44030</v>
      </c>
      <c r="B27" s="97">
        <f>IF('CALCULADORA TIS Pesos H-2'!$F$10="Contractual",ROUND('Tabla de Amortizacion'!B28,15),IF('CALCULADORA TIS Pesos H-2'!$F$10="6% (Medio)",ROUND('Tabla de Amortizacion'!D28,15),IF('CALCULADORA TIS Pesos H-2'!$F$10="10% (Medio Alto)",ROUND('Tabla de Amortizacion'!F28,15),IF('CALCULADORA TIS Pesos H-2'!$F$10="14% (Alto)",ROUND('Tabla de Amortizacion'!H28,15),IF('CALCULADORA TIS Pesos H-2'!$F$10="20%_",ROUND('Tabla de Amortizacion'!J28,15),ROUND('Tabla de Amortizacion'!L28,15))))))</f>
        <v>0.00508297</v>
      </c>
    </row>
    <row r="28" spans="1:2" ht="12.75">
      <c r="A28" s="29">
        <f t="shared" si="0"/>
        <v>44061</v>
      </c>
      <c r="B28" s="97">
        <f>IF('CALCULADORA TIS Pesos H-2'!$F$10="Contractual",ROUND('Tabla de Amortizacion'!B29,15),IF('CALCULADORA TIS Pesos H-2'!$F$10="6% (Medio)",ROUND('Tabla de Amortizacion'!D29,15),IF('CALCULADORA TIS Pesos H-2'!$F$10="10% (Medio Alto)",ROUND('Tabla de Amortizacion'!F29,15),IF('CALCULADORA TIS Pesos H-2'!$F$10="14% (Alto)",ROUND('Tabla de Amortizacion'!H29,15),IF('CALCULADORA TIS Pesos H-2'!$F$10="20%_",ROUND('Tabla de Amortizacion'!J29,15),ROUND('Tabla de Amortizacion'!L29,15))))))</f>
        <v>0.00535197</v>
      </c>
    </row>
    <row r="29" spans="1:2" ht="12.75">
      <c r="A29" s="29">
        <f t="shared" si="0"/>
        <v>44092</v>
      </c>
      <c r="B29" s="97">
        <f>IF('CALCULADORA TIS Pesos H-2'!$F$10="Contractual",ROUND('Tabla de Amortizacion'!B30,15),IF('CALCULADORA TIS Pesos H-2'!$F$10="6% (Medio)",ROUND('Tabla de Amortizacion'!D30,15),IF('CALCULADORA TIS Pesos H-2'!$F$10="10% (Medio Alto)",ROUND('Tabla de Amortizacion'!F30,15),IF('CALCULADORA TIS Pesos H-2'!$F$10="14% (Alto)",ROUND('Tabla de Amortizacion'!H30,15),IF('CALCULADORA TIS Pesos H-2'!$F$10="20%_",ROUND('Tabla de Amortizacion'!J30,15),ROUND('Tabla de Amortizacion'!L30,15))))))</f>
        <v>0.00945885</v>
      </c>
    </row>
    <row r="30" spans="1:2" ht="12.75">
      <c r="A30" s="29">
        <f t="shared" si="0"/>
        <v>44122</v>
      </c>
      <c r="B30" s="97">
        <f>IF('CALCULADORA TIS Pesos H-2'!$F$10="Contractual",ROUND('Tabla de Amortizacion'!B31,15),IF('CALCULADORA TIS Pesos H-2'!$F$10="6% (Medio)",ROUND('Tabla de Amortizacion'!D31,15),IF('CALCULADORA TIS Pesos H-2'!$F$10="10% (Medio Alto)",ROUND('Tabla de Amortizacion'!F31,15),IF('CALCULADORA TIS Pesos H-2'!$F$10="14% (Alto)",ROUND('Tabla de Amortizacion'!H31,15),IF('CALCULADORA TIS Pesos H-2'!$F$10="20%_",ROUND('Tabla de Amortizacion'!J31,15),ROUND('Tabla de Amortizacion'!L31,15))))))</f>
        <v>0.01620233</v>
      </c>
    </row>
    <row r="31" spans="1:2" ht="12.75">
      <c r="A31" s="29">
        <f t="shared" si="0"/>
        <v>44153</v>
      </c>
      <c r="B31" s="97">
        <f>IF('CALCULADORA TIS Pesos H-2'!$F$10="Contractual",ROUND('Tabla de Amortizacion'!B32,15),IF('CALCULADORA TIS Pesos H-2'!$F$10="6% (Medio)",ROUND('Tabla de Amortizacion'!D32,15),IF('CALCULADORA TIS Pesos H-2'!$F$10="10% (Medio Alto)",ROUND('Tabla de Amortizacion'!F32,15),IF('CALCULADORA TIS Pesos H-2'!$F$10="14% (Alto)",ROUND('Tabla de Amortizacion'!H32,15),IF('CALCULADORA TIS Pesos H-2'!$F$10="20%_",ROUND('Tabla de Amortizacion'!J32,15),ROUND('Tabla de Amortizacion'!L32,15))))))</f>
        <v>0.01203209</v>
      </c>
    </row>
    <row r="32" spans="1:2" ht="12.75">
      <c r="A32" s="29">
        <f t="shared" si="0"/>
        <v>44183</v>
      </c>
      <c r="B32" s="97">
        <f>IF('CALCULADORA TIS Pesos H-2'!$F$10="Contractual",ROUND('Tabla de Amortizacion'!B33,15),IF('CALCULADORA TIS Pesos H-2'!$F$10="6% (Medio)",ROUND('Tabla de Amortizacion'!D33,15),IF('CALCULADORA TIS Pesos H-2'!$F$10="10% (Medio Alto)",ROUND('Tabla de Amortizacion'!F33,15),IF('CALCULADORA TIS Pesos H-2'!$F$10="14% (Alto)",ROUND('Tabla de Amortizacion'!H33,15),IF('CALCULADORA TIS Pesos H-2'!$F$10="20%_",ROUND('Tabla de Amortizacion'!J33,15),ROUND('Tabla de Amortizacion'!L33,15))))))</f>
        <v>0.01363377</v>
      </c>
    </row>
    <row r="33" spans="1:2" ht="12.75">
      <c r="A33" s="29">
        <f t="shared" si="0"/>
        <v>44214</v>
      </c>
      <c r="B33" s="97">
        <f>IF('CALCULADORA TIS Pesos H-2'!$F$10="Contractual",ROUND('Tabla de Amortizacion'!B34,15),IF('CALCULADORA TIS Pesos H-2'!$F$10="6% (Medio)",ROUND('Tabla de Amortizacion'!D34,15),IF('CALCULADORA TIS Pesos H-2'!$F$10="10% (Medio Alto)",ROUND('Tabla de Amortizacion'!F34,15),IF('CALCULADORA TIS Pesos H-2'!$F$10="14% (Alto)",ROUND('Tabla de Amortizacion'!H34,15),IF('CALCULADORA TIS Pesos H-2'!$F$10="20%_",ROUND('Tabla de Amortizacion'!J34,15),ROUND('Tabla de Amortizacion'!L34,15))))))</f>
        <v>0.01327921</v>
      </c>
    </row>
    <row r="34" spans="1:2" ht="12.75">
      <c r="A34" s="29">
        <f t="shared" si="0"/>
        <v>44245</v>
      </c>
      <c r="B34" s="97">
        <f>IF('CALCULADORA TIS Pesos H-2'!$F$10="Contractual",ROUND('Tabla de Amortizacion'!B35,15),IF('CALCULADORA TIS Pesos H-2'!$F$10="6% (Medio)",ROUND('Tabla de Amortizacion'!D35,15),IF('CALCULADORA TIS Pesos H-2'!$F$10="10% (Medio Alto)",ROUND('Tabla de Amortizacion'!F35,15),IF('CALCULADORA TIS Pesos H-2'!$F$10="14% (Alto)",ROUND('Tabla de Amortizacion'!H35,15),IF('CALCULADORA TIS Pesos H-2'!$F$10="20%_",ROUND('Tabla de Amortizacion'!J35,15),ROUND('Tabla de Amortizacion'!L35,15))))))</f>
        <v>0.0147447</v>
      </c>
    </row>
    <row r="35" spans="1:2" ht="12.75">
      <c r="A35" s="29">
        <f aca="true" t="shared" si="1" ref="A35:A66">_XLL.FECHA.MES(A34,1)</f>
        <v>44273</v>
      </c>
      <c r="B35" s="97">
        <f>IF('CALCULADORA TIS Pesos H-2'!$F$10="Contractual",ROUND('Tabla de Amortizacion'!B36,15),IF('CALCULADORA TIS Pesos H-2'!$F$10="6% (Medio)",ROUND('Tabla de Amortizacion'!D36,15),IF('CALCULADORA TIS Pesos H-2'!$F$10="10% (Medio Alto)",ROUND('Tabla de Amortizacion'!F36,15),IF('CALCULADORA TIS Pesos H-2'!$F$10="14% (Alto)",ROUND('Tabla de Amortizacion'!H36,15),IF('CALCULADORA TIS Pesos H-2'!$F$10="20%_",ROUND('Tabla de Amortizacion'!J36,15),ROUND('Tabla de Amortizacion'!L36,15))))))</f>
        <v>0.00904088</v>
      </c>
    </row>
    <row r="36" spans="1:2" ht="12.75">
      <c r="A36" s="29">
        <f t="shared" si="1"/>
        <v>44304</v>
      </c>
      <c r="B36" s="97">
        <f>IF('CALCULADORA TIS Pesos H-2'!$F$10="Contractual",ROUND('Tabla de Amortizacion'!B37,15),IF('CALCULADORA TIS Pesos H-2'!$F$10="6% (Medio)",ROUND('Tabla de Amortizacion'!D37,15),IF('CALCULADORA TIS Pesos H-2'!$F$10="10% (Medio Alto)",ROUND('Tabla de Amortizacion'!F37,15),IF('CALCULADORA TIS Pesos H-2'!$F$10="14% (Alto)",ROUND('Tabla de Amortizacion'!H37,15),IF('CALCULADORA TIS Pesos H-2'!$F$10="20%_",ROUND('Tabla de Amortizacion'!J37,15),ROUND('Tabla de Amortizacion'!L37,15))))))</f>
        <v>0.01231656</v>
      </c>
    </row>
    <row r="37" spans="1:2" ht="12.75">
      <c r="A37" s="29">
        <f t="shared" si="1"/>
        <v>44334</v>
      </c>
      <c r="B37" s="97">
        <f>IF('CALCULADORA TIS Pesos H-2'!$F$10="Contractual",ROUND('Tabla de Amortizacion'!B38,15),IF('CALCULADORA TIS Pesos H-2'!$F$10="6% (Medio)",ROUND('Tabla de Amortizacion'!D38,15),IF('CALCULADORA TIS Pesos H-2'!$F$10="10% (Medio Alto)",ROUND('Tabla de Amortizacion'!F38,15),IF('CALCULADORA TIS Pesos H-2'!$F$10="14% (Alto)",ROUND('Tabla de Amortizacion'!H38,15),IF('CALCULADORA TIS Pesos H-2'!$F$10="20%_",ROUND('Tabla de Amortizacion'!J38,15),ROUND('Tabla de Amortizacion'!L38,15))))))</f>
        <v>0.01226712</v>
      </c>
    </row>
    <row r="38" spans="1:2" ht="12.75">
      <c r="A38" s="29">
        <f t="shared" si="1"/>
        <v>44365</v>
      </c>
      <c r="B38" s="97">
        <f>IF('CALCULADORA TIS Pesos H-2'!$F$10="Contractual",ROUND('Tabla de Amortizacion'!B39,15),IF('CALCULADORA TIS Pesos H-2'!$F$10="6% (Medio)",ROUND('Tabla de Amortizacion'!D39,15),IF('CALCULADORA TIS Pesos H-2'!$F$10="10% (Medio Alto)",ROUND('Tabla de Amortizacion'!F39,15),IF('CALCULADORA TIS Pesos H-2'!$F$10="14% (Alto)",ROUND('Tabla de Amortizacion'!H39,15),IF('CALCULADORA TIS Pesos H-2'!$F$10="20%_",ROUND('Tabla de Amortizacion'!J39,15),ROUND('Tabla de Amortizacion'!L39,15))))))</f>
        <v>0.01500761</v>
      </c>
    </row>
    <row r="39" spans="1:2" ht="12.75">
      <c r="A39" s="29">
        <f t="shared" si="1"/>
        <v>44395</v>
      </c>
      <c r="B39" s="97">
        <f>IF('CALCULADORA TIS Pesos H-2'!$F$10="Contractual",ROUND('Tabla de Amortizacion'!B40,15),IF('CALCULADORA TIS Pesos H-2'!$F$10="6% (Medio)",ROUND('Tabla de Amortizacion'!D40,15),IF('CALCULADORA TIS Pesos H-2'!$F$10="10% (Medio Alto)",ROUND('Tabla de Amortizacion'!F40,15),IF('CALCULADORA TIS Pesos H-2'!$F$10="14% (Alto)",ROUND('Tabla de Amortizacion'!H40,15),IF('CALCULADORA TIS Pesos H-2'!$F$10="20%_",ROUND('Tabla de Amortizacion'!J40,15),ROUND('Tabla de Amortizacion'!L40,15))))))</f>
        <v>0.01240746</v>
      </c>
    </row>
    <row r="40" spans="1:2" ht="12.75">
      <c r="A40" s="29">
        <f t="shared" si="1"/>
        <v>44426</v>
      </c>
      <c r="B40" s="97">
        <f>IF('CALCULADORA TIS Pesos H-2'!$F$10="Contractual",ROUND('Tabla de Amortizacion'!B41,15),IF('CALCULADORA TIS Pesos H-2'!$F$10="6% (Medio)",ROUND('Tabla de Amortizacion'!D41,15),IF('CALCULADORA TIS Pesos H-2'!$F$10="10% (Medio Alto)",ROUND('Tabla de Amortizacion'!F41,15),IF('CALCULADORA TIS Pesos H-2'!$F$10="14% (Alto)",ROUND('Tabla de Amortizacion'!H41,15),IF('CALCULADORA TIS Pesos H-2'!$F$10="20%_",ROUND('Tabla de Amortizacion'!J41,15),ROUND('Tabla de Amortizacion'!L41,15))))))</f>
        <v>0.01363176</v>
      </c>
    </row>
    <row r="41" spans="1:2" ht="12.75">
      <c r="A41" s="29">
        <f t="shared" si="1"/>
        <v>44457</v>
      </c>
      <c r="B41" s="97">
        <f>IF('CALCULADORA TIS Pesos H-2'!$F$10="Contractual",ROUND('Tabla de Amortizacion'!B42,15),IF('CALCULADORA TIS Pesos H-2'!$F$10="6% (Medio)",ROUND('Tabla de Amortizacion'!D42,15),IF('CALCULADORA TIS Pesos H-2'!$F$10="10% (Medio Alto)",ROUND('Tabla de Amortizacion'!F42,15),IF('CALCULADORA TIS Pesos H-2'!$F$10="14% (Alto)",ROUND('Tabla de Amortizacion'!H42,15),IF('CALCULADORA TIS Pesos H-2'!$F$10="20%_",ROUND('Tabla de Amortizacion'!J42,15),ROUND('Tabla de Amortizacion'!L42,15))))))</f>
        <v>0.01121826</v>
      </c>
    </row>
    <row r="42" spans="1:2" ht="12.75">
      <c r="A42" s="29">
        <f t="shared" si="1"/>
        <v>44487</v>
      </c>
      <c r="B42" s="97">
        <f>IF('CALCULADORA TIS Pesos H-2'!$F$10="Contractual",ROUND('Tabla de Amortizacion'!B43,15),IF('CALCULADORA TIS Pesos H-2'!$F$10="6% (Medio)",ROUND('Tabla de Amortizacion'!D43,15),IF('CALCULADORA TIS Pesos H-2'!$F$10="10% (Medio Alto)",ROUND('Tabla de Amortizacion'!F43,15),IF('CALCULADORA TIS Pesos H-2'!$F$10="14% (Alto)",ROUND('Tabla de Amortizacion'!H43,15),IF('CALCULADORA TIS Pesos H-2'!$F$10="20%_",ROUND('Tabla de Amortizacion'!J43,15),ROUND('Tabla de Amortizacion'!L43,15))))))</f>
        <v>0.01073547</v>
      </c>
    </row>
    <row r="43" spans="1:2" ht="12.75">
      <c r="A43" s="29">
        <f t="shared" si="1"/>
        <v>44518</v>
      </c>
      <c r="B43" s="97">
        <f>IF('CALCULADORA TIS Pesos H-2'!$F$10="Contractual",ROUND('Tabla de Amortizacion'!B44,15),IF('CALCULADORA TIS Pesos H-2'!$F$10="6% (Medio)",ROUND('Tabla de Amortizacion'!D44,15),IF('CALCULADORA TIS Pesos H-2'!$F$10="10% (Medio Alto)",ROUND('Tabla de Amortizacion'!F44,15),IF('CALCULADORA TIS Pesos H-2'!$F$10="14% (Alto)",ROUND('Tabla de Amortizacion'!H44,15),IF('CALCULADORA TIS Pesos H-2'!$F$10="20%_",ROUND('Tabla de Amortizacion'!J44,15),ROUND('Tabla de Amortizacion'!L44,15))))))</f>
        <v>0.00891518</v>
      </c>
    </row>
    <row r="44" spans="1:2" ht="12.75">
      <c r="A44" s="29">
        <f t="shared" si="1"/>
        <v>44548</v>
      </c>
      <c r="B44" s="97">
        <f>IF('CALCULADORA TIS Pesos H-2'!$F$10="Contractual",ROUND('Tabla de Amortizacion'!B45,15),IF('CALCULADORA TIS Pesos H-2'!$F$10="6% (Medio)",ROUND('Tabla de Amortizacion'!D45,15),IF('CALCULADORA TIS Pesos H-2'!$F$10="10% (Medio Alto)",ROUND('Tabla de Amortizacion'!F45,15),IF('CALCULADORA TIS Pesos H-2'!$F$10="14% (Alto)",ROUND('Tabla de Amortizacion'!H45,15),IF('CALCULADORA TIS Pesos H-2'!$F$10="20%_",ROUND('Tabla de Amortizacion'!J45,15),ROUND('Tabla de Amortizacion'!L45,15))))))</f>
        <v>0.00908007</v>
      </c>
    </row>
    <row r="45" spans="1:2" ht="12.75">
      <c r="A45" s="29">
        <f t="shared" si="1"/>
        <v>44579</v>
      </c>
      <c r="B45" s="97">
        <f>IF('CALCULADORA TIS Pesos H-2'!$F$10="Contractual",ROUND('Tabla de Amortizacion'!B46,15),IF('CALCULADORA TIS Pesos H-2'!$F$10="6% (Medio)",ROUND('Tabla de Amortizacion'!D46,15),IF('CALCULADORA TIS Pesos H-2'!$F$10="10% (Medio Alto)",ROUND('Tabla de Amortizacion'!F46,15),IF('CALCULADORA TIS Pesos H-2'!$F$10="14% (Alto)",ROUND('Tabla de Amortizacion'!H46,15),IF('CALCULADORA TIS Pesos H-2'!$F$10="20%_",ROUND('Tabla de Amortizacion'!J46,15),ROUND('Tabla de Amortizacion'!L46,15))))))</f>
        <v>0.01059624</v>
      </c>
    </row>
    <row r="46" spans="1:2" ht="12.75">
      <c r="A46" s="29">
        <f t="shared" si="1"/>
        <v>44610</v>
      </c>
      <c r="B46" s="97">
        <f>IF('CALCULADORA TIS Pesos H-2'!$F$10="Contractual",ROUND('Tabla de Amortizacion'!B47,15),IF('CALCULADORA TIS Pesos H-2'!$F$10="6% (Medio)",ROUND('Tabla de Amortizacion'!D47,15),IF('CALCULADORA TIS Pesos H-2'!$F$10="10% (Medio Alto)",ROUND('Tabla de Amortizacion'!F47,15),IF('CALCULADORA TIS Pesos H-2'!$F$10="14% (Alto)",ROUND('Tabla de Amortizacion'!H47,15),IF('CALCULADORA TIS Pesos H-2'!$F$10="20%_",ROUND('Tabla de Amortizacion'!J47,15),ROUND('Tabla de Amortizacion'!L47,15))))))</f>
        <v>0.01331305</v>
      </c>
    </row>
    <row r="47" spans="1:2" ht="12.75">
      <c r="A47" s="29">
        <f t="shared" si="1"/>
        <v>44638</v>
      </c>
      <c r="B47" s="97">
        <f>IF('CALCULADORA TIS Pesos H-2'!$F$10="Contractual",ROUND('Tabla de Amortizacion'!B48,15),IF('CALCULADORA TIS Pesos H-2'!$F$10="6% (Medio)",ROUND('Tabla de Amortizacion'!D48,15),IF('CALCULADORA TIS Pesos H-2'!$F$10="10% (Medio Alto)",ROUND('Tabla de Amortizacion'!F48,15),IF('CALCULADORA TIS Pesos H-2'!$F$10="14% (Alto)",ROUND('Tabla de Amortizacion'!H48,15),IF('CALCULADORA TIS Pesos H-2'!$F$10="20%_",ROUND('Tabla de Amortizacion'!J48,15),ROUND('Tabla de Amortizacion'!L48,15))))))</f>
        <v>0.01330445</v>
      </c>
    </row>
    <row r="48" spans="1:2" ht="12.75">
      <c r="A48" s="29">
        <f t="shared" si="1"/>
        <v>44669</v>
      </c>
      <c r="B48" s="97">
        <f>IF('CALCULADORA TIS Pesos H-2'!$F$10="Contractual",ROUND('Tabla de Amortizacion'!B49,15),IF('CALCULADORA TIS Pesos H-2'!$F$10="6% (Medio)",ROUND('Tabla de Amortizacion'!D49,15),IF('CALCULADORA TIS Pesos H-2'!$F$10="10% (Medio Alto)",ROUND('Tabla de Amortizacion'!F49,15),IF('CALCULADORA TIS Pesos H-2'!$F$10="14% (Alto)",ROUND('Tabla de Amortizacion'!H49,15),IF('CALCULADORA TIS Pesos H-2'!$F$10="20%_",ROUND('Tabla de Amortizacion'!J49,15),ROUND('Tabla de Amortizacion'!L49,15))))))</f>
        <v>0.01347875</v>
      </c>
    </row>
    <row r="49" spans="1:2" ht="12.75">
      <c r="A49" s="29">
        <f t="shared" si="1"/>
        <v>44699</v>
      </c>
      <c r="B49" s="97">
        <f>IF('CALCULADORA TIS Pesos H-2'!$F$10="Contractual",ROUND('Tabla de Amortizacion'!B50,15),IF('CALCULADORA TIS Pesos H-2'!$F$10="6% (Medio)",ROUND('Tabla de Amortizacion'!D50,15),IF('CALCULADORA TIS Pesos H-2'!$F$10="10% (Medio Alto)",ROUND('Tabla de Amortizacion'!F50,15),IF('CALCULADORA TIS Pesos H-2'!$F$10="14% (Alto)",ROUND('Tabla de Amortizacion'!H50,15),IF('CALCULADORA TIS Pesos H-2'!$F$10="20%_",ROUND('Tabla de Amortizacion'!J50,15),ROUND('Tabla de Amortizacion'!L50,15))))))</f>
        <v>0.01128556</v>
      </c>
    </row>
    <row r="50" spans="1:2" ht="12.75">
      <c r="A50" s="29">
        <f t="shared" si="1"/>
        <v>44730</v>
      </c>
      <c r="B50" s="97">
        <f>IF('CALCULADORA TIS Pesos H-2'!$F$10="Contractual",ROUND('Tabla de Amortizacion'!B51,15),IF('CALCULADORA TIS Pesos H-2'!$F$10="6% (Medio)",ROUND('Tabla de Amortizacion'!D51,15),IF('CALCULADORA TIS Pesos H-2'!$F$10="10% (Medio Alto)",ROUND('Tabla de Amortizacion'!F51,15),IF('CALCULADORA TIS Pesos H-2'!$F$10="14% (Alto)",ROUND('Tabla de Amortizacion'!H51,15),IF('CALCULADORA TIS Pesos H-2'!$F$10="20%_",ROUND('Tabla de Amortizacion'!J51,15),ROUND('Tabla de Amortizacion'!L51,15))))))</f>
        <v>0.0164689</v>
      </c>
    </row>
    <row r="51" spans="1:2" ht="12.75">
      <c r="A51" s="29">
        <f t="shared" si="1"/>
        <v>44760</v>
      </c>
      <c r="B51" s="97">
        <f>IF('CALCULADORA TIS Pesos H-2'!$F$10="Contractual",ROUND('Tabla de Amortizacion'!B52,15),IF('CALCULADORA TIS Pesos H-2'!$F$10="6% (Medio)",ROUND('Tabla de Amortizacion'!D52,15),IF('CALCULADORA TIS Pesos H-2'!$F$10="10% (Medio Alto)",ROUND('Tabla de Amortizacion'!F52,15),IF('CALCULADORA TIS Pesos H-2'!$F$10="14% (Alto)",ROUND('Tabla de Amortizacion'!H52,15),IF('CALCULADORA TIS Pesos H-2'!$F$10="20%_",ROUND('Tabla de Amortizacion'!J52,15),ROUND('Tabla de Amortizacion'!L52,15))))))</f>
        <v>0.00895107</v>
      </c>
    </row>
    <row r="52" spans="1:2" ht="12.75">
      <c r="A52" s="29">
        <f t="shared" si="1"/>
        <v>44791</v>
      </c>
      <c r="B52" s="97">
        <f>IF('CALCULADORA TIS Pesos H-2'!$F$10="Contractual",ROUND('Tabla de Amortizacion'!B53,15),IF('CALCULADORA TIS Pesos H-2'!$F$10="6% (Medio)",ROUND('Tabla de Amortizacion'!D53,15),IF('CALCULADORA TIS Pesos H-2'!$F$10="10% (Medio Alto)",ROUND('Tabla de Amortizacion'!F53,15),IF('CALCULADORA TIS Pesos H-2'!$F$10="14% (Alto)",ROUND('Tabla de Amortizacion'!H53,15),IF('CALCULADORA TIS Pesos H-2'!$F$10="20%_",ROUND('Tabla de Amortizacion'!J53,15),ROUND('Tabla de Amortizacion'!L53,15))))))</f>
        <v>0.01058841</v>
      </c>
    </row>
    <row r="53" spans="1:2" ht="12.75">
      <c r="A53" s="29">
        <f t="shared" si="1"/>
        <v>44822</v>
      </c>
      <c r="B53" s="97">
        <f>IF('CALCULADORA TIS Pesos H-2'!$F$10="Contractual",ROUND('Tabla de Amortizacion'!B54,15),IF('CALCULADORA TIS Pesos H-2'!$F$10="6% (Medio)",ROUND('Tabla de Amortizacion'!D54,15),IF('CALCULADORA TIS Pesos H-2'!$F$10="10% (Medio Alto)",ROUND('Tabla de Amortizacion'!F54,15),IF('CALCULADORA TIS Pesos H-2'!$F$10="14% (Alto)",ROUND('Tabla de Amortizacion'!H54,15),IF('CALCULADORA TIS Pesos H-2'!$F$10="20%_",ROUND('Tabla de Amortizacion'!J54,15),ROUND('Tabla de Amortizacion'!L54,15))))))</f>
        <v>0.01394401</v>
      </c>
    </row>
    <row r="54" spans="1:2" ht="12.75">
      <c r="A54" s="29">
        <f t="shared" si="1"/>
        <v>44852</v>
      </c>
      <c r="B54" s="97">
        <f>IF('CALCULADORA TIS Pesos H-2'!$F$10="Contractual",ROUND('Tabla de Amortizacion'!B55,15),IF('CALCULADORA TIS Pesos H-2'!$F$10="6% (Medio)",ROUND('Tabla de Amortizacion'!D55,15),IF('CALCULADORA TIS Pesos H-2'!$F$10="10% (Medio Alto)",ROUND('Tabla de Amortizacion'!F55,15),IF('CALCULADORA TIS Pesos H-2'!$F$10="14% (Alto)",ROUND('Tabla de Amortizacion'!H55,15),IF('CALCULADORA TIS Pesos H-2'!$F$10="20%_",ROUND('Tabla de Amortizacion'!J55,15),ROUND('Tabla de Amortizacion'!L55,15))))))</f>
        <v>0.01237428</v>
      </c>
    </row>
    <row r="55" spans="1:2" ht="12.75">
      <c r="A55" s="29">
        <f t="shared" si="1"/>
        <v>44883</v>
      </c>
      <c r="B55" s="97">
        <f>IF('CALCULADORA TIS Pesos H-2'!$F$10="Contractual",ROUND('Tabla de Amortizacion'!B56,15),IF('CALCULADORA TIS Pesos H-2'!$F$10="6% (Medio)",ROUND('Tabla de Amortizacion'!D56,15),IF('CALCULADORA TIS Pesos H-2'!$F$10="10% (Medio Alto)",ROUND('Tabla de Amortizacion'!F56,15),IF('CALCULADORA TIS Pesos H-2'!$F$10="14% (Alto)",ROUND('Tabla de Amortizacion'!H56,15),IF('CALCULADORA TIS Pesos H-2'!$F$10="20%_",ROUND('Tabla de Amortizacion'!J56,15),ROUND('Tabla de Amortizacion'!L56,15))))))</f>
        <v>0.0110615</v>
      </c>
    </row>
    <row r="56" spans="1:2" ht="12.75">
      <c r="A56" s="29">
        <f t="shared" si="1"/>
        <v>44913</v>
      </c>
      <c r="B56" s="97">
        <f>IF('CALCULADORA TIS Pesos H-2'!$F$10="Contractual",ROUND('Tabla de Amortizacion'!B57,15),IF('CALCULADORA TIS Pesos H-2'!$F$10="6% (Medio)",ROUND('Tabla de Amortizacion'!D57,15),IF('CALCULADORA TIS Pesos H-2'!$F$10="10% (Medio Alto)",ROUND('Tabla de Amortizacion'!F57,15),IF('CALCULADORA TIS Pesos H-2'!$F$10="14% (Alto)",ROUND('Tabla de Amortizacion'!H57,15),IF('CALCULADORA TIS Pesos H-2'!$F$10="20%_",ROUND('Tabla de Amortizacion'!J57,15),ROUND('Tabla de Amortizacion'!L57,15))))))</f>
        <v>0.01047459</v>
      </c>
    </row>
    <row r="57" spans="1:2" ht="12.75">
      <c r="A57" s="29">
        <f t="shared" si="1"/>
        <v>44944</v>
      </c>
      <c r="B57" s="97">
        <f>IF('CALCULADORA TIS Pesos H-2'!$F$10="Contractual",ROUND('Tabla de Amortizacion'!B58,15),IF('CALCULADORA TIS Pesos H-2'!$F$10="6% (Medio)",ROUND('Tabla de Amortizacion'!D58,15),IF('CALCULADORA TIS Pesos H-2'!$F$10="10% (Medio Alto)",ROUND('Tabla de Amortizacion'!F58,15),IF('CALCULADORA TIS Pesos H-2'!$F$10="14% (Alto)",ROUND('Tabla de Amortizacion'!H58,15),IF('CALCULADORA TIS Pesos H-2'!$F$10="20%_",ROUND('Tabla de Amortizacion'!J58,15),ROUND('Tabla de Amortizacion'!L58,15))))))</f>
        <v>0.01206691</v>
      </c>
    </row>
    <row r="58" spans="1:2" ht="12.75">
      <c r="A58" s="29">
        <f t="shared" si="1"/>
        <v>44975</v>
      </c>
      <c r="B58" s="97">
        <f>IF('CALCULADORA TIS Pesos H-2'!$F$10="Contractual",ROUND('Tabla de Amortizacion'!B59,15),IF('CALCULADORA TIS Pesos H-2'!$F$10="6% (Medio)",ROUND('Tabla de Amortizacion'!D59,15),IF('CALCULADORA TIS Pesos H-2'!$F$10="10% (Medio Alto)",ROUND('Tabla de Amortizacion'!F59,15),IF('CALCULADORA TIS Pesos H-2'!$F$10="14% (Alto)",ROUND('Tabla de Amortizacion'!H59,15),IF('CALCULADORA TIS Pesos H-2'!$F$10="20%_",ROUND('Tabla de Amortizacion'!J59,15),ROUND('Tabla de Amortizacion'!L59,15))))))</f>
        <v>0.00814017</v>
      </c>
    </row>
    <row r="59" spans="1:2" ht="12.75">
      <c r="A59" s="29">
        <f t="shared" si="1"/>
        <v>45003</v>
      </c>
      <c r="B59" s="97">
        <f>IF('CALCULADORA TIS Pesos H-2'!$F$10="Contractual",ROUND('Tabla de Amortizacion'!B60,15),IF('CALCULADORA TIS Pesos H-2'!$F$10="6% (Medio)",ROUND('Tabla de Amortizacion'!D60,15),IF('CALCULADORA TIS Pesos H-2'!$F$10="10% (Medio Alto)",ROUND('Tabla de Amortizacion'!F60,15),IF('CALCULADORA TIS Pesos H-2'!$F$10="14% (Alto)",ROUND('Tabla de Amortizacion'!H60,15),IF('CALCULADORA TIS Pesos H-2'!$F$10="20%_",ROUND('Tabla de Amortizacion'!J60,15),ROUND('Tabla de Amortizacion'!L60,15))))))</f>
        <v>0.00875394</v>
      </c>
    </row>
    <row r="60" spans="1:2" ht="12.75">
      <c r="A60" s="29">
        <f t="shared" si="1"/>
        <v>45034</v>
      </c>
      <c r="B60" s="97">
        <f>IF('CALCULADORA TIS Pesos H-2'!$F$10="Contractual",ROUND('Tabla de Amortizacion'!B61,15),IF('CALCULADORA TIS Pesos H-2'!$F$10="6% (Medio)",ROUND('Tabla de Amortizacion'!D61,15),IF('CALCULADORA TIS Pesos H-2'!$F$10="10% (Medio Alto)",ROUND('Tabla de Amortizacion'!F61,15),IF('CALCULADORA TIS Pesos H-2'!$F$10="14% (Alto)",ROUND('Tabla de Amortizacion'!H61,15),IF('CALCULADORA TIS Pesos H-2'!$F$10="20%_",ROUND('Tabla de Amortizacion'!J61,15),ROUND('Tabla de Amortizacion'!L61,15))))))</f>
        <v>0.01058185</v>
      </c>
    </row>
    <row r="61" spans="1:2" ht="12.75">
      <c r="A61" s="29">
        <f t="shared" si="1"/>
        <v>45064</v>
      </c>
      <c r="B61" s="97">
        <f>IF('CALCULADORA TIS Pesos H-2'!$F$10="Contractual",ROUND('Tabla de Amortizacion'!B62,15),IF('CALCULADORA TIS Pesos H-2'!$F$10="6% (Medio)",ROUND('Tabla de Amortizacion'!D62,15),IF('CALCULADORA TIS Pesos H-2'!$F$10="10% (Medio Alto)",ROUND('Tabla de Amortizacion'!F62,15),IF('CALCULADORA TIS Pesos H-2'!$F$10="14% (Alto)",ROUND('Tabla de Amortizacion'!H62,15),IF('CALCULADORA TIS Pesos H-2'!$F$10="20%_",ROUND('Tabla de Amortizacion'!J62,15),ROUND('Tabla de Amortizacion'!L62,15))))))</f>
        <v>0.0107756</v>
      </c>
    </row>
    <row r="62" spans="1:2" ht="12.75">
      <c r="A62" s="29">
        <f t="shared" si="1"/>
        <v>45095</v>
      </c>
      <c r="B62" s="97">
        <f>IF('CALCULADORA TIS Pesos H-2'!$F$10="Contractual",ROUND('Tabla de Amortizacion'!B63,15),IF('CALCULADORA TIS Pesos H-2'!$F$10="6% (Medio)",ROUND('Tabla de Amortizacion'!D63,15),IF('CALCULADORA TIS Pesos H-2'!$F$10="10% (Medio Alto)",ROUND('Tabla de Amortizacion'!F63,15),IF('CALCULADORA TIS Pesos H-2'!$F$10="14% (Alto)",ROUND('Tabla de Amortizacion'!H63,15),IF('CALCULADORA TIS Pesos H-2'!$F$10="20%_",ROUND('Tabla de Amortizacion'!J63,15),ROUND('Tabla de Amortizacion'!L63,15))))))</f>
        <v>0.01096763</v>
      </c>
    </row>
    <row r="63" spans="1:2" ht="12.75">
      <c r="A63" s="29">
        <f t="shared" si="1"/>
        <v>45125</v>
      </c>
      <c r="B63" s="97">
        <f>IF('CALCULADORA TIS Pesos H-2'!$F$10="Contractual",ROUND('Tabla de Amortizacion'!B64,15),IF('CALCULADORA TIS Pesos H-2'!$F$10="6% (Medio)",ROUND('Tabla de Amortizacion'!D64,15),IF('CALCULADORA TIS Pesos H-2'!$F$10="10% (Medio Alto)",ROUND('Tabla de Amortizacion'!F64,15),IF('CALCULADORA TIS Pesos H-2'!$F$10="14% (Alto)",ROUND('Tabla de Amortizacion'!H64,15),IF('CALCULADORA TIS Pesos H-2'!$F$10="20%_",ROUND('Tabla de Amortizacion'!J64,15),ROUND('Tabla de Amortizacion'!L64,15))))))</f>
        <v>0.00899119</v>
      </c>
    </row>
    <row r="64" spans="1:2" ht="12.75">
      <c r="A64" s="29">
        <f t="shared" si="1"/>
        <v>45156</v>
      </c>
      <c r="B64" s="97">
        <f>IF('CALCULADORA TIS Pesos H-2'!$F$10="Contractual",ROUND('Tabla de Amortizacion'!B65,15),IF('CALCULADORA TIS Pesos H-2'!$F$10="6% (Medio)",ROUND('Tabla de Amortizacion'!D65,15),IF('CALCULADORA TIS Pesos H-2'!$F$10="10% (Medio Alto)",ROUND('Tabla de Amortizacion'!F65,15),IF('CALCULADORA TIS Pesos H-2'!$F$10="14% (Alto)",ROUND('Tabla de Amortizacion'!H65,15),IF('CALCULADORA TIS Pesos H-2'!$F$10="20%_",ROUND('Tabla de Amortizacion'!J65,15),ROUND('Tabla de Amortizacion'!L65,15))))))</f>
        <v>0.0108828</v>
      </c>
    </row>
    <row r="65" spans="1:2" ht="12.75">
      <c r="A65" s="29">
        <f t="shared" si="1"/>
        <v>45187</v>
      </c>
      <c r="B65" s="97">
        <f>IF('CALCULADORA TIS Pesos H-2'!$F$10="Contractual",ROUND('Tabla de Amortizacion'!B66,15),IF('CALCULADORA TIS Pesos H-2'!$F$10="6% (Medio)",ROUND('Tabla de Amortizacion'!D66,15),IF('CALCULADORA TIS Pesos H-2'!$F$10="10% (Medio Alto)",ROUND('Tabla de Amortizacion'!F66,15),IF('CALCULADORA TIS Pesos H-2'!$F$10="14% (Alto)",ROUND('Tabla de Amortizacion'!H66,15),IF('CALCULADORA TIS Pesos H-2'!$F$10="20%_",ROUND('Tabla de Amortizacion'!J66,15),ROUND('Tabla de Amortizacion'!L66,15))))))</f>
        <v>0.0096454</v>
      </c>
    </row>
    <row r="66" spans="1:2" ht="12.75">
      <c r="A66" s="29">
        <f t="shared" si="1"/>
        <v>45217</v>
      </c>
      <c r="B66" s="97">
        <f>IF('CALCULADORA TIS Pesos H-2'!$F$10="Contractual",ROUND('Tabla de Amortizacion'!B67,15),IF('CALCULADORA TIS Pesos H-2'!$F$10="6% (Medio)",ROUND('Tabla de Amortizacion'!D67,15),IF('CALCULADORA TIS Pesos H-2'!$F$10="10% (Medio Alto)",ROUND('Tabla de Amortizacion'!F67,15),IF('CALCULADORA TIS Pesos H-2'!$F$10="14% (Alto)",ROUND('Tabla de Amortizacion'!H67,15),IF('CALCULADORA TIS Pesos H-2'!$F$10="20%_",ROUND('Tabla de Amortizacion'!J67,15),ROUND('Tabla de Amortizacion'!L67,15))))))</f>
        <v>0.01013966</v>
      </c>
    </row>
    <row r="67" spans="1:2" ht="12.75">
      <c r="A67" s="29">
        <f aca="true" t="shared" si="2" ref="A67:A98">_XLL.FECHA.MES(A66,1)</f>
        <v>45248</v>
      </c>
      <c r="B67" s="97">
        <f>IF('CALCULADORA TIS Pesos H-2'!$F$10="Contractual",ROUND('Tabla de Amortizacion'!B68,15),IF('CALCULADORA TIS Pesos H-2'!$F$10="6% (Medio)",ROUND('Tabla de Amortizacion'!D68,15),IF('CALCULADORA TIS Pesos H-2'!$F$10="10% (Medio Alto)",ROUND('Tabla de Amortizacion'!F68,15),IF('CALCULADORA TIS Pesos H-2'!$F$10="14% (Alto)",ROUND('Tabla de Amortizacion'!H68,15),IF('CALCULADORA TIS Pesos H-2'!$F$10="20%_",ROUND('Tabla de Amortizacion'!J68,15),ROUND('Tabla de Amortizacion'!L68,15))))))</f>
        <v>0.01000146</v>
      </c>
    </row>
    <row r="68" spans="1:2" ht="12.75">
      <c r="A68" s="29">
        <f t="shared" si="2"/>
        <v>45278</v>
      </c>
      <c r="B68" s="97">
        <f>IF('CALCULADORA TIS Pesos H-2'!$F$10="Contractual",ROUND('Tabla de Amortizacion'!B69,15),IF('CALCULADORA TIS Pesos H-2'!$F$10="6% (Medio)",ROUND('Tabla de Amortizacion'!D69,15),IF('CALCULADORA TIS Pesos H-2'!$F$10="10% (Medio Alto)",ROUND('Tabla de Amortizacion'!F69,15),IF('CALCULADORA TIS Pesos H-2'!$F$10="14% (Alto)",ROUND('Tabla de Amortizacion'!H69,15),IF('CALCULADORA TIS Pesos H-2'!$F$10="20%_",ROUND('Tabla de Amortizacion'!J69,15),ROUND('Tabla de Amortizacion'!L69,15))))))</f>
        <v>0.00983024</v>
      </c>
    </row>
    <row r="69" spans="1:2" ht="12.75">
      <c r="A69" s="29">
        <f t="shared" si="2"/>
        <v>45309</v>
      </c>
      <c r="B69" s="97">
        <f>IF('CALCULADORA TIS Pesos H-2'!$F$10="Contractual",ROUND('Tabla de Amortizacion'!B70,15),IF('CALCULADORA TIS Pesos H-2'!$F$10="6% (Medio)",ROUND('Tabla de Amortizacion'!D70,15),IF('CALCULADORA TIS Pesos H-2'!$F$10="10% (Medio Alto)",ROUND('Tabla de Amortizacion'!F70,15),IF('CALCULADORA TIS Pesos H-2'!$F$10="14% (Alto)",ROUND('Tabla de Amortizacion'!H70,15),IF('CALCULADORA TIS Pesos H-2'!$F$10="20%_",ROUND('Tabla de Amortizacion'!J70,15),ROUND('Tabla de Amortizacion'!L70,15))))))</f>
        <v>0.00971301</v>
      </c>
    </row>
    <row r="70" spans="1:2" ht="12.75">
      <c r="A70" s="29">
        <f t="shared" si="2"/>
        <v>45340</v>
      </c>
      <c r="B70" s="97">
        <f>IF('CALCULADORA TIS Pesos H-2'!$F$10="Contractual",ROUND('Tabla de Amortizacion'!B71,15),IF('CALCULADORA TIS Pesos H-2'!$F$10="6% (Medio)",ROUND('Tabla de Amortizacion'!D71,15),IF('CALCULADORA TIS Pesos H-2'!$F$10="10% (Medio Alto)",ROUND('Tabla de Amortizacion'!F71,15),IF('CALCULADORA TIS Pesos H-2'!$F$10="14% (Alto)",ROUND('Tabla de Amortizacion'!H71,15),IF('CALCULADORA TIS Pesos H-2'!$F$10="20%_",ROUND('Tabla de Amortizacion'!J71,15),ROUND('Tabla de Amortizacion'!L71,15))))))</f>
        <v>0.00955811</v>
      </c>
    </row>
    <row r="71" spans="1:2" ht="12.75">
      <c r="A71" s="29">
        <f t="shared" si="2"/>
        <v>45369</v>
      </c>
      <c r="B71" s="97">
        <f>IF('CALCULADORA TIS Pesos H-2'!$F$10="Contractual",ROUND('Tabla de Amortizacion'!B72,15),IF('CALCULADORA TIS Pesos H-2'!$F$10="6% (Medio)",ROUND('Tabla de Amortizacion'!D72,15),IF('CALCULADORA TIS Pesos H-2'!$F$10="10% (Medio Alto)",ROUND('Tabla de Amortizacion'!F72,15),IF('CALCULADORA TIS Pesos H-2'!$F$10="14% (Alto)",ROUND('Tabla de Amortizacion'!H72,15),IF('CALCULADORA TIS Pesos H-2'!$F$10="20%_",ROUND('Tabla de Amortizacion'!J72,15),ROUND('Tabla de Amortizacion'!L72,15))))))</f>
        <v>0.00949951</v>
      </c>
    </row>
    <row r="72" spans="1:2" ht="12.75">
      <c r="A72" s="29">
        <f t="shared" si="2"/>
        <v>45400</v>
      </c>
      <c r="B72" s="97">
        <f>IF('CALCULADORA TIS Pesos H-2'!$F$10="Contractual",ROUND('Tabla de Amortizacion'!B73,15),IF('CALCULADORA TIS Pesos H-2'!$F$10="6% (Medio)",ROUND('Tabla de Amortizacion'!D73,15),IF('CALCULADORA TIS Pesos H-2'!$F$10="10% (Medio Alto)",ROUND('Tabla de Amortizacion'!F73,15),IF('CALCULADORA TIS Pesos H-2'!$F$10="14% (Alto)",ROUND('Tabla de Amortizacion'!H73,15),IF('CALCULADORA TIS Pesos H-2'!$F$10="20%_",ROUND('Tabla de Amortizacion'!J73,15),ROUND('Tabla de Amortizacion'!L73,15))))))</f>
        <v>0.00934313</v>
      </c>
    </row>
    <row r="73" spans="1:2" ht="12.75">
      <c r="A73" s="29">
        <f t="shared" si="2"/>
        <v>45430</v>
      </c>
      <c r="B73" s="97">
        <f>IF('CALCULADORA TIS Pesos H-2'!$F$10="Contractual",ROUND('Tabla de Amortizacion'!B74,15),IF('CALCULADORA TIS Pesos H-2'!$F$10="6% (Medio)",ROUND('Tabla de Amortizacion'!D74,15),IF('CALCULADORA TIS Pesos H-2'!$F$10="10% (Medio Alto)",ROUND('Tabla de Amortizacion'!F74,15),IF('CALCULADORA TIS Pesos H-2'!$F$10="14% (Alto)",ROUND('Tabla de Amortizacion'!H74,15),IF('CALCULADORA TIS Pesos H-2'!$F$10="20%_",ROUND('Tabla de Amortizacion'!J74,15),ROUND('Tabla de Amortizacion'!L74,15))))))</f>
        <v>0.00854031</v>
      </c>
    </row>
    <row r="74" spans="1:2" ht="12.75">
      <c r="A74" s="29">
        <f t="shared" si="2"/>
        <v>45461</v>
      </c>
      <c r="B74" s="97">
        <f>IF('CALCULADORA TIS Pesos H-2'!$F$10="Contractual",ROUND('Tabla de Amortizacion'!B75,15),IF('CALCULADORA TIS Pesos H-2'!$F$10="6% (Medio)",ROUND('Tabla de Amortizacion'!D75,15),IF('CALCULADORA TIS Pesos H-2'!$F$10="10% (Medio Alto)",ROUND('Tabla de Amortizacion'!F75,15),IF('CALCULADORA TIS Pesos H-2'!$F$10="14% (Alto)",ROUND('Tabla de Amortizacion'!H75,15),IF('CALCULADORA TIS Pesos H-2'!$F$10="20%_",ROUND('Tabla de Amortizacion'!J75,15),ROUND('Tabla de Amortizacion'!L75,15))))))</f>
        <v>0.00917362</v>
      </c>
    </row>
    <row r="75" spans="1:2" ht="12.75">
      <c r="A75" s="29">
        <f t="shared" si="2"/>
        <v>45491</v>
      </c>
      <c r="B75" s="97">
        <f>IF('CALCULADORA TIS Pesos H-2'!$F$10="Contractual",ROUND('Tabla de Amortizacion'!B76,15),IF('CALCULADORA TIS Pesos H-2'!$F$10="6% (Medio)",ROUND('Tabla de Amortizacion'!D76,15),IF('CALCULADORA TIS Pesos H-2'!$F$10="10% (Medio Alto)",ROUND('Tabla de Amortizacion'!F76,15),IF('CALCULADORA TIS Pesos H-2'!$F$10="14% (Alto)",ROUND('Tabla de Amortizacion'!H76,15),IF('CALCULADORA TIS Pesos H-2'!$F$10="20%_",ROUND('Tabla de Amortizacion'!J76,15),ROUND('Tabla de Amortizacion'!L76,15))))))</f>
        <v>0.00908973</v>
      </c>
    </row>
    <row r="76" spans="1:2" ht="12.75">
      <c r="A76" s="29">
        <f t="shared" si="2"/>
        <v>45522</v>
      </c>
      <c r="B76" s="97">
        <f>IF('CALCULADORA TIS Pesos H-2'!$F$10="Contractual",ROUND('Tabla de Amortizacion'!B77,15),IF('CALCULADORA TIS Pesos H-2'!$F$10="6% (Medio)",ROUND('Tabla de Amortizacion'!D77,15),IF('CALCULADORA TIS Pesos H-2'!$F$10="10% (Medio Alto)",ROUND('Tabla de Amortizacion'!F77,15),IF('CALCULADORA TIS Pesos H-2'!$F$10="14% (Alto)",ROUND('Tabla de Amortizacion'!H77,15),IF('CALCULADORA TIS Pesos H-2'!$F$10="20%_",ROUND('Tabla de Amortizacion'!J77,15),ROUND('Tabla de Amortizacion'!L77,15))))))</f>
        <v>0.00901642</v>
      </c>
    </row>
    <row r="77" spans="1:2" ht="12.75">
      <c r="A77" s="29">
        <f t="shared" si="2"/>
        <v>45553</v>
      </c>
      <c r="B77" s="97">
        <f>IF('CALCULADORA TIS Pesos H-2'!$F$10="Contractual",ROUND('Tabla de Amortizacion'!B78,15),IF('CALCULADORA TIS Pesos H-2'!$F$10="6% (Medio)",ROUND('Tabla de Amortizacion'!D78,15),IF('CALCULADORA TIS Pesos H-2'!$F$10="10% (Medio Alto)",ROUND('Tabla de Amortizacion'!F78,15),IF('CALCULADORA TIS Pesos H-2'!$F$10="14% (Alto)",ROUND('Tabla de Amortizacion'!H78,15),IF('CALCULADORA TIS Pesos H-2'!$F$10="20%_",ROUND('Tabla de Amortizacion'!J78,15),ROUND('Tabla de Amortizacion'!L78,15))))))</f>
        <v>0.00884438</v>
      </c>
    </row>
    <row r="78" spans="1:2" ht="12.75">
      <c r="A78" s="29">
        <f t="shared" si="2"/>
        <v>45583</v>
      </c>
      <c r="B78" s="97">
        <f>IF('CALCULADORA TIS Pesos H-2'!$F$10="Contractual",ROUND('Tabla de Amortizacion'!B79,15),IF('CALCULADORA TIS Pesos H-2'!$F$10="6% (Medio)",ROUND('Tabla de Amortizacion'!D79,15),IF('CALCULADORA TIS Pesos H-2'!$F$10="10% (Medio Alto)",ROUND('Tabla de Amortizacion'!F79,15),IF('CALCULADORA TIS Pesos H-2'!$F$10="14% (Alto)",ROUND('Tabla de Amortizacion'!H79,15),IF('CALCULADORA TIS Pesos H-2'!$F$10="20%_",ROUND('Tabla de Amortizacion'!J79,15),ROUND('Tabla de Amortizacion'!L79,15))))))</f>
        <v>0.00875393</v>
      </c>
    </row>
    <row r="79" spans="1:2" ht="12.75">
      <c r="A79" s="29">
        <f t="shared" si="2"/>
        <v>45614</v>
      </c>
      <c r="B79" s="97">
        <f>IF('CALCULADORA TIS Pesos H-2'!$F$10="Contractual",ROUND('Tabla de Amortizacion'!B80,15),IF('CALCULADORA TIS Pesos H-2'!$F$10="6% (Medio)",ROUND('Tabla de Amortizacion'!D80,15),IF('CALCULADORA TIS Pesos H-2'!$F$10="10% (Medio Alto)",ROUND('Tabla de Amortizacion'!F80,15),IF('CALCULADORA TIS Pesos H-2'!$F$10="14% (Alto)",ROUND('Tabla de Amortizacion'!H80,15),IF('CALCULADORA TIS Pesos H-2'!$F$10="20%_",ROUND('Tabla de Amortizacion'!J80,15),ROUND('Tabla de Amortizacion'!L80,15))))))</f>
        <v>0.00861928</v>
      </c>
    </row>
    <row r="80" spans="1:2" ht="12.75">
      <c r="A80" s="29">
        <f t="shared" si="2"/>
        <v>45644</v>
      </c>
      <c r="B80" s="97">
        <f>IF('CALCULADORA TIS Pesos H-2'!$F$10="Contractual",ROUND('Tabla de Amortizacion'!B81,15),IF('CALCULADORA TIS Pesos H-2'!$F$10="6% (Medio)",ROUND('Tabla de Amortizacion'!D81,15),IF('CALCULADORA TIS Pesos H-2'!$F$10="10% (Medio Alto)",ROUND('Tabla de Amortizacion'!F81,15),IF('CALCULADORA TIS Pesos H-2'!$F$10="14% (Alto)",ROUND('Tabla de Amortizacion'!H81,15),IF('CALCULADORA TIS Pesos H-2'!$F$10="20%_",ROUND('Tabla de Amortizacion'!J81,15),ROUND('Tabla de Amortizacion'!L81,15))))))</f>
        <v>0.00856068</v>
      </c>
    </row>
    <row r="81" spans="1:2" ht="12.75">
      <c r="A81" s="29">
        <f t="shared" si="2"/>
        <v>45675</v>
      </c>
      <c r="B81" s="97">
        <f>IF('CALCULADORA TIS Pesos H-2'!$F$10="Contractual",ROUND('Tabla de Amortizacion'!B82,15),IF('CALCULADORA TIS Pesos H-2'!$F$10="6% (Medio)",ROUND('Tabla de Amortizacion'!D82,15),IF('CALCULADORA TIS Pesos H-2'!$F$10="10% (Medio Alto)",ROUND('Tabla de Amortizacion'!F82,15),IF('CALCULADORA TIS Pesos H-2'!$F$10="14% (Alto)",ROUND('Tabla de Amortizacion'!H82,15),IF('CALCULADORA TIS Pesos H-2'!$F$10="20%_",ROUND('Tabla de Amortizacion'!J82,15),ROUND('Tabla de Amortizacion'!L82,15))))))</f>
        <v>0.00854273</v>
      </c>
    </row>
    <row r="82" spans="1:2" ht="12.75">
      <c r="A82" s="29">
        <f t="shared" si="2"/>
        <v>45706</v>
      </c>
      <c r="B82" s="97">
        <f>IF('CALCULADORA TIS Pesos H-2'!$F$10="Contractual",ROUND('Tabla de Amortizacion'!B83,15),IF('CALCULADORA TIS Pesos H-2'!$F$10="6% (Medio)",ROUND('Tabla de Amortizacion'!D83,15),IF('CALCULADORA TIS Pesos H-2'!$F$10="10% (Medio Alto)",ROUND('Tabla de Amortizacion'!F83,15),IF('CALCULADORA TIS Pesos H-2'!$F$10="14% (Alto)",ROUND('Tabla de Amortizacion'!H83,15),IF('CALCULADORA TIS Pesos H-2'!$F$10="20%_",ROUND('Tabla de Amortizacion'!J83,15),ROUND('Tabla de Amortizacion'!L83,15))))))</f>
        <v>0.00840952</v>
      </c>
    </row>
    <row r="83" spans="1:2" ht="12.75">
      <c r="A83" s="29">
        <f t="shared" si="2"/>
        <v>45734</v>
      </c>
      <c r="B83" s="97">
        <f>IF('CALCULADORA TIS Pesos H-2'!$F$10="Contractual",ROUND('Tabla de Amortizacion'!B84,15),IF('CALCULADORA TIS Pesos H-2'!$F$10="6% (Medio)",ROUND('Tabla de Amortizacion'!D84,15),IF('CALCULADORA TIS Pesos H-2'!$F$10="10% (Medio Alto)",ROUND('Tabla de Amortizacion'!F84,15),IF('CALCULADORA TIS Pesos H-2'!$F$10="14% (Alto)",ROUND('Tabla de Amortizacion'!H84,15),IF('CALCULADORA TIS Pesos H-2'!$F$10="20%_",ROUND('Tabla de Amortizacion'!J84,15),ROUND('Tabla de Amortizacion'!L84,15))))))</f>
        <v>0.00831609</v>
      </c>
    </row>
    <row r="84" spans="1:2" ht="12.75">
      <c r="A84" s="29">
        <f t="shared" si="2"/>
        <v>45765</v>
      </c>
      <c r="B84" s="97">
        <f>IF('CALCULADORA TIS Pesos H-2'!$F$10="Contractual",ROUND('Tabla de Amortizacion'!B85,15),IF('CALCULADORA TIS Pesos H-2'!$F$10="6% (Medio)",ROUND('Tabla de Amortizacion'!D85,15),IF('CALCULADORA TIS Pesos H-2'!$F$10="10% (Medio Alto)",ROUND('Tabla de Amortizacion'!F85,15),IF('CALCULADORA TIS Pesos H-2'!$F$10="14% (Alto)",ROUND('Tabla de Amortizacion'!H85,15),IF('CALCULADORA TIS Pesos H-2'!$F$10="20%_",ROUND('Tabla de Amortizacion'!J85,15),ROUND('Tabla de Amortizacion'!L85,15))))))</f>
        <v>0.00825101</v>
      </c>
    </row>
    <row r="85" spans="1:2" ht="12.75">
      <c r="A85" s="29">
        <f t="shared" si="2"/>
        <v>45795</v>
      </c>
      <c r="B85" s="97">
        <f>IF('CALCULADORA TIS Pesos H-2'!$F$10="Contractual",ROUND('Tabla de Amortizacion'!B86,15),IF('CALCULADORA TIS Pesos H-2'!$F$10="6% (Medio)",ROUND('Tabla de Amortizacion'!D86,15),IF('CALCULADORA TIS Pesos H-2'!$F$10="10% (Medio Alto)",ROUND('Tabla de Amortizacion'!F86,15),IF('CALCULADORA TIS Pesos H-2'!$F$10="14% (Alto)",ROUND('Tabla de Amortizacion'!H86,15),IF('CALCULADORA TIS Pesos H-2'!$F$10="20%_",ROUND('Tabla de Amortizacion'!J86,15),ROUND('Tabla de Amortizacion'!L86,15))))))</f>
        <v>0.00735191</v>
      </c>
    </row>
    <row r="86" spans="1:2" ht="12.75">
      <c r="A86" s="29">
        <f t="shared" si="2"/>
        <v>45826</v>
      </c>
      <c r="B86" s="97">
        <f>IF('CALCULADORA TIS Pesos H-2'!$F$10="Contractual",ROUND('Tabla de Amortizacion'!B87,15),IF('CALCULADORA TIS Pesos H-2'!$F$10="6% (Medio)",ROUND('Tabla de Amortizacion'!D87,15),IF('CALCULADORA TIS Pesos H-2'!$F$10="10% (Medio Alto)",ROUND('Tabla de Amortizacion'!F87,15),IF('CALCULADORA TIS Pesos H-2'!$F$10="14% (Alto)",ROUND('Tabla de Amortizacion'!H87,15),IF('CALCULADORA TIS Pesos H-2'!$F$10="20%_",ROUND('Tabla de Amortizacion'!J87,15),ROUND('Tabla de Amortizacion'!L87,15))))))</f>
        <v>0.0080521</v>
      </c>
    </row>
    <row r="87" spans="1:2" ht="12.75">
      <c r="A87" s="29">
        <f t="shared" si="2"/>
        <v>45856</v>
      </c>
      <c r="B87" s="97">
        <f>IF('CALCULADORA TIS Pesos H-2'!$F$10="Contractual",ROUND('Tabla de Amortizacion'!B88,15),IF('CALCULADORA TIS Pesos H-2'!$F$10="6% (Medio)",ROUND('Tabla de Amortizacion'!D88,15),IF('CALCULADORA TIS Pesos H-2'!$F$10="10% (Medio Alto)",ROUND('Tabla de Amortizacion'!F88,15),IF('CALCULADORA TIS Pesos H-2'!$F$10="14% (Alto)",ROUND('Tabla de Amortizacion'!H88,15),IF('CALCULADORA TIS Pesos H-2'!$F$10="20%_",ROUND('Tabla de Amortizacion'!J88,15),ROUND('Tabla de Amortizacion'!L88,15))))))</f>
        <v>0.00799357</v>
      </c>
    </row>
    <row r="88" spans="1:2" ht="12.75">
      <c r="A88" s="29">
        <f t="shared" si="2"/>
        <v>45887</v>
      </c>
      <c r="B88" s="97">
        <f>IF('CALCULADORA TIS Pesos H-2'!$F$10="Contractual",ROUND('Tabla de Amortizacion'!B89,15),IF('CALCULADORA TIS Pesos H-2'!$F$10="6% (Medio)",ROUND('Tabla de Amortizacion'!D89,15),IF('CALCULADORA TIS Pesos H-2'!$F$10="10% (Medio Alto)",ROUND('Tabla de Amortizacion'!F89,15),IF('CALCULADORA TIS Pesos H-2'!$F$10="14% (Alto)",ROUND('Tabla de Amortizacion'!H89,15),IF('CALCULADORA TIS Pesos H-2'!$F$10="20%_",ROUND('Tabla de Amortizacion'!J89,15),ROUND('Tabla de Amortizacion'!L89,15))))))</f>
        <v>0.00788952</v>
      </c>
    </row>
    <row r="89" spans="1:2" ht="12.75">
      <c r="A89" s="29">
        <f t="shared" si="2"/>
        <v>45918</v>
      </c>
      <c r="B89" s="97">
        <f>IF('CALCULADORA TIS Pesos H-2'!$F$10="Contractual",ROUND('Tabla de Amortizacion'!B90,15),IF('CALCULADORA TIS Pesos H-2'!$F$10="6% (Medio)",ROUND('Tabla de Amortizacion'!D90,15),IF('CALCULADORA TIS Pesos H-2'!$F$10="10% (Medio Alto)",ROUND('Tabla de Amortizacion'!F90,15),IF('CALCULADORA TIS Pesos H-2'!$F$10="14% (Alto)",ROUND('Tabla de Amortizacion'!H90,15),IF('CALCULADORA TIS Pesos H-2'!$F$10="20%_",ROUND('Tabla de Amortizacion'!J90,15),ROUND('Tabla de Amortizacion'!L90,15))))))</f>
        <v>0.00779688</v>
      </c>
    </row>
    <row r="90" spans="1:2" ht="12.75">
      <c r="A90" s="29">
        <f t="shared" si="2"/>
        <v>45948</v>
      </c>
      <c r="B90" s="97">
        <f>IF('CALCULADORA TIS Pesos H-2'!$F$10="Contractual",ROUND('Tabla de Amortizacion'!B91,15),IF('CALCULADORA TIS Pesos H-2'!$F$10="6% (Medio)",ROUND('Tabla de Amortizacion'!D91,15),IF('CALCULADORA TIS Pesos H-2'!$F$10="10% (Medio Alto)",ROUND('Tabla de Amortizacion'!F91,15),IF('CALCULADORA TIS Pesos H-2'!$F$10="14% (Alto)",ROUND('Tabla de Amortizacion'!H91,15),IF('CALCULADORA TIS Pesos H-2'!$F$10="20%_",ROUND('Tabla de Amortizacion'!J91,15),ROUND('Tabla de Amortizacion'!L91,15))))))</f>
        <v>0.00772333</v>
      </c>
    </row>
    <row r="91" spans="1:2" ht="12.75">
      <c r="A91" s="29">
        <f t="shared" si="2"/>
        <v>45979</v>
      </c>
      <c r="B91" s="97">
        <f>IF('CALCULADORA TIS Pesos H-2'!$F$10="Contractual",ROUND('Tabla de Amortizacion'!B92,15),IF('CALCULADORA TIS Pesos H-2'!$F$10="6% (Medio)",ROUND('Tabla de Amortizacion'!D92,15),IF('CALCULADORA TIS Pesos H-2'!$F$10="10% (Medio Alto)",ROUND('Tabla de Amortizacion'!F92,15),IF('CALCULADORA TIS Pesos H-2'!$F$10="14% (Alto)",ROUND('Tabla de Amortizacion'!H92,15),IF('CALCULADORA TIS Pesos H-2'!$F$10="20%_",ROUND('Tabla de Amortizacion'!J92,15),ROUND('Tabla de Amortizacion'!L92,15))))))</f>
        <v>0.00763656</v>
      </c>
    </row>
    <row r="92" spans="1:2" ht="12.75">
      <c r="A92" s="29">
        <f t="shared" si="2"/>
        <v>46009</v>
      </c>
      <c r="B92" s="97">
        <f>IF('CALCULADORA TIS Pesos H-2'!$F$10="Contractual",ROUND('Tabla de Amortizacion'!B93,15),IF('CALCULADORA TIS Pesos H-2'!$F$10="6% (Medio)",ROUND('Tabla de Amortizacion'!D93,15),IF('CALCULADORA TIS Pesos H-2'!$F$10="10% (Medio Alto)",ROUND('Tabla de Amortizacion'!F93,15),IF('CALCULADORA TIS Pesos H-2'!$F$10="14% (Alto)",ROUND('Tabla de Amortizacion'!H93,15),IF('CALCULADORA TIS Pesos H-2'!$F$10="20%_",ROUND('Tabla de Amortizacion'!J93,15),ROUND('Tabla de Amortizacion'!L93,15))))))</f>
        <v>0.00756751</v>
      </c>
    </row>
    <row r="93" spans="1:2" ht="12.75">
      <c r="A93" s="29">
        <f t="shared" si="2"/>
        <v>46040</v>
      </c>
      <c r="B93" s="97">
        <f>IF('CALCULADORA TIS Pesos H-2'!$F$10="Contractual",ROUND('Tabla de Amortizacion'!B94,15),IF('CALCULADORA TIS Pesos H-2'!$F$10="6% (Medio)",ROUND('Tabla de Amortizacion'!D94,15),IF('CALCULADORA TIS Pesos H-2'!$F$10="10% (Medio Alto)",ROUND('Tabla de Amortizacion'!F94,15),IF('CALCULADORA TIS Pesos H-2'!$F$10="14% (Alto)",ROUND('Tabla de Amortizacion'!H94,15),IF('CALCULADORA TIS Pesos H-2'!$F$10="20%_",ROUND('Tabla de Amortizacion'!J94,15),ROUND('Tabla de Amortizacion'!L94,15))))))</f>
        <v>0.00744734</v>
      </c>
    </row>
    <row r="94" spans="1:2" ht="12.75">
      <c r="A94" s="29">
        <f t="shared" si="2"/>
        <v>46071</v>
      </c>
      <c r="B94" s="97">
        <f>IF('CALCULADORA TIS Pesos H-2'!$F$10="Contractual",ROUND('Tabla de Amortizacion'!B95,15),IF('CALCULADORA TIS Pesos H-2'!$F$10="6% (Medio)",ROUND('Tabla de Amortizacion'!D95,15),IF('CALCULADORA TIS Pesos H-2'!$F$10="10% (Medio Alto)",ROUND('Tabla de Amortizacion'!F95,15),IF('CALCULADORA TIS Pesos H-2'!$F$10="14% (Alto)",ROUND('Tabla de Amortizacion'!H95,15),IF('CALCULADORA TIS Pesos H-2'!$F$10="20%_",ROUND('Tabla de Amortizacion'!J95,15),ROUND('Tabla de Amortizacion'!L95,15))))))</f>
        <v>0.00739209</v>
      </c>
    </row>
    <row r="95" spans="1:2" ht="12.75">
      <c r="A95" s="29">
        <f t="shared" si="2"/>
        <v>46099</v>
      </c>
      <c r="B95" s="97">
        <f>IF('CALCULADORA TIS Pesos H-2'!$F$10="Contractual",ROUND('Tabla de Amortizacion'!B96,15),IF('CALCULADORA TIS Pesos H-2'!$F$10="6% (Medio)",ROUND('Tabla de Amortizacion'!D96,15),IF('CALCULADORA TIS Pesos H-2'!$F$10="10% (Medio Alto)",ROUND('Tabla de Amortizacion'!F96,15),IF('CALCULADORA TIS Pesos H-2'!$F$10="14% (Alto)",ROUND('Tabla de Amortizacion'!H96,15),IF('CALCULADORA TIS Pesos H-2'!$F$10="20%_",ROUND('Tabla de Amortizacion'!J96,15),ROUND('Tabla de Amortizacion'!L96,15))))))</f>
        <v>0.00727963</v>
      </c>
    </row>
    <row r="96" spans="1:2" ht="12.75">
      <c r="A96" s="29">
        <f t="shared" si="2"/>
        <v>46130</v>
      </c>
      <c r="B96" s="97">
        <f>IF('CALCULADORA TIS Pesos H-2'!$F$10="Contractual",ROUND('Tabla de Amortizacion'!B97,15),IF('CALCULADORA TIS Pesos H-2'!$F$10="6% (Medio)",ROUND('Tabla de Amortizacion'!D97,15),IF('CALCULADORA TIS Pesos H-2'!$F$10="10% (Medio Alto)",ROUND('Tabla de Amortizacion'!F97,15),IF('CALCULADORA TIS Pesos H-2'!$F$10="14% (Alto)",ROUND('Tabla de Amortizacion'!H97,15),IF('CALCULADORA TIS Pesos H-2'!$F$10="20%_",ROUND('Tabla de Amortizacion'!J97,15),ROUND('Tabla de Amortizacion'!L97,15))))))</f>
        <v>0.00719438</v>
      </c>
    </row>
    <row r="97" spans="1:2" ht="12.75">
      <c r="A97" s="29">
        <f t="shared" si="2"/>
        <v>46160</v>
      </c>
      <c r="B97" s="97">
        <f>IF('CALCULADORA TIS Pesos H-2'!$F$10="Contractual",ROUND('Tabla de Amortizacion'!B98,15),IF('CALCULADORA TIS Pesos H-2'!$F$10="6% (Medio)",ROUND('Tabla de Amortizacion'!D98,15),IF('CALCULADORA TIS Pesos H-2'!$F$10="10% (Medio Alto)",ROUND('Tabla de Amortizacion'!F98,15),IF('CALCULADORA TIS Pesos H-2'!$F$10="14% (Alto)",ROUND('Tabla de Amortizacion'!H98,15),IF('CALCULADORA TIS Pesos H-2'!$F$10="20%_",ROUND('Tabla de Amortizacion'!J98,15),ROUND('Tabla de Amortizacion'!L98,15))))))</f>
        <v>0.00630329</v>
      </c>
    </row>
    <row r="98" spans="1:2" ht="12.75">
      <c r="A98" s="29">
        <f t="shared" si="2"/>
        <v>46191</v>
      </c>
      <c r="B98" s="97">
        <f>IF('CALCULADORA TIS Pesos H-2'!$F$10="Contractual",ROUND('Tabla de Amortizacion'!B99,15),IF('CALCULADORA TIS Pesos H-2'!$F$10="6% (Medio)",ROUND('Tabla de Amortizacion'!D99,15),IF('CALCULADORA TIS Pesos H-2'!$F$10="10% (Medio Alto)",ROUND('Tabla de Amortizacion'!F99,15),IF('CALCULADORA TIS Pesos H-2'!$F$10="14% (Alto)",ROUND('Tabla de Amortizacion'!H99,15),IF('CALCULADORA TIS Pesos H-2'!$F$10="20%_",ROUND('Tabla de Amortizacion'!J99,15),ROUND('Tabla de Amortizacion'!L99,15))))))</f>
        <v>0.00703811</v>
      </c>
    </row>
    <row r="99" spans="1:2" ht="12.75">
      <c r="A99" s="29">
        <f aca="true" t="shared" si="3" ref="A99:A130">_XLL.FECHA.MES(A98,1)</f>
        <v>46221</v>
      </c>
      <c r="B99" s="97">
        <f>IF('CALCULADORA TIS Pesos H-2'!$F$10="Contractual",ROUND('Tabla de Amortizacion'!B100,15),IF('CALCULADORA TIS Pesos H-2'!$F$10="6% (Medio)",ROUND('Tabla de Amortizacion'!D100,15),IF('CALCULADORA TIS Pesos H-2'!$F$10="10% (Medio Alto)",ROUND('Tabla de Amortizacion'!F100,15),IF('CALCULADORA TIS Pesos H-2'!$F$10="14% (Alto)",ROUND('Tabla de Amortizacion'!H100,15),IF('CALCULADORA TIS Pesos H-2'!$F$10="20%_",ROUND('Tabla de Amortizacion'!J100,15),ROUND('Tabla de Amortizacion'!L100,15))))))</f>
        <v>0.00694677</v>
      </c>
    </row>
    <row r="100" spans="1:2" ht="12.75">
      <c r="A100" s="29">
        <f t="shared" si="3"/>
        <v>46252</v>
      </c>
      <c r="B100" s="97">
        <f>IF('CALCULADORA TIS Pesos H-2'!$F$10="Contractual",ROUND('Tabla de Amortizacion'!B101,15),IF('CALCULADORA TIS Pesos H-2'!$F$10="6% (Medio)",ROUND('Tabla de Amortizacion'!D101,15),IF('CALCULADORA TIS Pesos H-2'!$F$10="10% (Medio Alto)",ROUND('Tabla de Amortizacion'!F101,15),IF('CALCULADORA TIS Pesos H-2'!$F$10="14% (Alto)",ROUND('Tabla de Amortizacion'!H101,15),IF('CALCULADORA TIS Pesos H-2'!$F$10="20%_",ROUND('Tabla de Amortizacion'!J101,15),ROUND('Tabla de Amortizacion'!L101,15))))))</f>
        <v>0.00681452</v>
      </c>
    </row>
    <row r="101" spans="1:2" ht="12.75">
      <c r="A101" s="29">
        <f t="shared" si="3"/>
        <v>46283</v>
      </c>
      <c r="B101" s="97">
        <f>IF('CALCULADORA TIS Pesos H-2'!$F$10="Contractual",ROUND('Tabla de Amortizacion'!B102,15),IF('CALCULADORA TIS Pesos H-2'!$F$10="6% (Medio)",ROUND('Tabla de Amortizacion'!D102,15),IF('CALCULADORA TIS Pesos H-2'!$F$10="10% (Medio Alto)",ROUND('Tabla de Amortizacion'!F102,15),IF('CALCULADORA TIS Pesos H-2'!$F$10="14% (Alto)",ROUND('Tabla de Amortizacion'!H102,15),IF('CALCULADORA TIS Pesos H-2'!$F$10="20%_",ROUND('Tabla de Amortizacion'!J102,15),ROUND('Tabla de Amortizacion'!L102,15))))))</f>
        <v>0.00215571</v>
      </c>
    </row>
    <row r="102" spans="1:2" ht="12.75">
      <c r="A102" s="29">
        <f t="shared" si="3"/>
        <v>46313</v>
      </c>
      <c r="B102" s="97">
        <f>IF('CALCULADORA TIS Pesos H-2'!$F$10="Contractual",ROUND('Tabla de Amortizacion'!B103,15),IF('CALCULADORA TIS Pesos H-2'!$F$10="6% (Medio)",ROUND('Tabla de Amortizacion'!D103,15),IF('CALCULADORA TIS Pesos H-2'!$F$10="10% (Medio Alto)",ROUND('Tabla de Amortizacion'!F103,15),IF('CALCULADORA TIS Pesos H-2'!$F$10="14% (Alto)",ROUND('Tabla de Amortizacion'!H103,15),IF('CALCULADORA TIS Pesos H-2'!$F$10="20%_",ROUND('Tabla de Amortizacion'!J103,15),ROUND('Tabla de Amortizacion'!L103,15))))))</f>
        <v>0</v>
      </c>
    </row>
    <row r="103" spans="1:2" ht="12.75">
      <c r="A103" s="29">
        <f t="shared" si="3"/>
        <v>46344</v>
      </c>
      <c r="B103" s="97">
        <f>IF('CALCULADORA TIS Pesos H-2'!$F$10="Contractual",ROUND('Tabla de Amortizacion'!B104,15),IF('CALCULADORA TIS Pesos H-2'!$F$10="6% (Medio)",ROUND('Tabla de Amortizacion'!D104,15),IF('CALCULADORA TIS Pesos H-2'!$F$10="10% (Medio Alto)",ROUND('Tabla de Amortizacion'!F104,15),IF('CALCULADORA TIS Pesos H-2'!$F$10="14% (Alto)",ROUND('Tabla de Amortizacion'!H104,15),IF('CALCULADORA TIS Pesos H-2'!$F$10="20%_",ROUND('Tabla de Amortizacion'!J104,15),ROUND('Tabla de Amortizacion'!L104,15))))))</f>
        <v>0</v>
      </c>
    </row>
    <row r="104" spans="1:2" ht="12.75">
      <c r="A104" s="29">
        <f t="shared" si="3"/>
        <v>46374</v>
      </c>
      <c r="B104" s="97">
        <f>IF('CALCULADORA TIS Pesos H-2'!$F$10="Contractual",ROUND('Tabla de Amortizacion'!B105,15),IF('CALCULADORA TIS Pesos H-2'!$F$10="6% (Medio)",ROUND('Tabla de Amortizacion'!D105,15),IF('CALCULADORA TIS Pesos H-2'!$F$10="10% (Medio Alto)",ROUND('Tabla de Amortizacion'!F105,15),IF('CALCULADORA TIS Pesos H-2'!$F$10="14% (Alto)",ROUND('Tabla de Amortizacion'!H105,15),IF('CALCULADORA TIS Pesos H-2'!$F$10="20%_",ROUND('Tabla de Amortizacion'!J105,15),ROUND('Tabla de Amortizacion'!L105,15))))))</f>
        <v>0</v>
      </c>
    </row>
    <row r="105" spans="1:2" ht="12.75">
      <c r="A105" s="29">
        <f t="shared" si="3"/>
        <v>46405</v>
      </c>
      <c r="B105" s="97">
        <f>IF('CALCULADORA TIS Pesos H-2'!$F$10="Contractual",ROUND('Tabla de Amortizacion'!B106,15),IF('CALCULADORA TIS Pesos H-2'!$F$10="6% (Medio)",ROUND('Tabla de Amortizacion'!D106,15),IF('CALCULADORA TIS Pesos H-2'!$F$10="10% (Medio Alto)",ROUND('Tabla de Amortizacion'!F106,15),IF('CALCULADORA TIS Pesos H-2'!$F$10="14% (Alto)",ROUND('Tabla de Amortizacion'!H106,15),IF('CALCULADORA TIS Pesos H-2'!$F$10="20%_",ROUND('Tabla de Amortizacion'!J106,15),ROUND('Tabla de Amortizacion'!L106,15))))))</f>
        <v>0</v>
      </c>
    </row>
    <row r="106" spans="1:2" ht="12.75">
      <c r="A106" s="29">
        <f t="shared" si="3"/>
        <v>46436</v>
      </c>
      <c r="B106" s="97">
        <f>IF('CALCULADORA TIS Pesos H-2'!$F$10="Contractual",ROUND('Tabla de Amortizacion'!B107,15),IF('CALCULADORA TIS Pesos H-2'!$F$10="6% (Medio)",ROUND('Tabla de Amortizacion'!D107,15),IF('CALCULADORA TIS Pesos H-2'!$F$10="10% (Medio Alto)",ROUND('Tabla de Amortizacion'!F107,15),IF('CALCULADORA TIS Pesos H-2'!$F$10="14% (Alto)",ROUND('Tabla de Amortizacion'!H107,15),IF('CALCULADORA TIS Pesos H-2'!$F$10="20%_",ROUND('Tabla de Amortizacion'!J107,15),ROUND('Tabla de Amortizacion'!L107,15))))))</f>
        <v>0</v>
      </c>
    </row>
    <row r="107" spans="1:2" ht="12.75">
      <c r="A107" s="29">
        <f t="shared" si="3"/>
        <v>46464</v>
      </c>
      <c r="B107" s="97">
        <f>IF('CALCULADORA TIS Pesos H-2'!$F$10="Contractual",ROUND('Tabla de Amortizacion'!B108,15),IF('CALCULADORA TIS Pesos H-2'!$F$10="6% (Medio)",ROUND('Tabla de Amortizacion'!D108,15),IF('CALCULADORA TIS Pesos H-2'!$F$10="10% (Medio Alto)",ROUND('Tabla de Amortizacion'!F108,15),IF('CALCULADORA TIS Pesos H-2'!$F$10="14% (Alto)",ROUND('Tabla de Amortizacion'!H108,15),IF('CALCULADORA TIS Pesos H-2'!$F$10="20%_",ROUND('Tabla de Amortizacion'!J108,15),ROUND('Tabla de Amortizacion'!L108,15))))))</f>
        <v>0</v>
      </c>
    </row>
    <row r="108" spans="1:2" ht="12.75">
      <c r="A108" s="29">
        <f t="shared" si="3"/>
        <v>46495</v>
      </c>
      <c r="B108" s="97">
        <f>IF('CALCULADORA TIS Pesos H-2'!$F$10="Contractual",ROUND('Tabla de Amortizacion'!B109,15),IF('CALCULADORA TIS Pesos H-2'!$F$10="6% (Medio)",ROUND('Tabla de Amortizacion'!D109,15),IF('CALCULADORA TIS Pesos H-2'!$F$10="10% (Medio Alto)",ROUND('Tabla de Amortizacion'!F109,15),IF('CALCULADORA TIS Pesos H-2'!$F$10="14% (Alto)",ROUND('Tabla de Amortizacion'!H109,15),IF('CALCULADORA TIS Pesos H-2'!$F$10="20%_",ROUND('Tabla de Amortizacion'!J109,15),ROUND('Tabla de Amortizacion'!L109,15))))))</f>
        <v>0</v>
      </c>
    </row>
    <row r="109" spans="1:2" ht="12.75">
      <c r="A109" s="29">
        <f t="shared" si="3"/>
        <v>46525</v>
      </c>
      <c r="B109" s="97">
        <f>IF('CALCULADORA TIS Pesos H-2'!$F$10="Contractual",ROUND('Tabla de Amortizacion'!B110,15),IF('CALCULADORA TIS Pesos H-2'!$F$10="6% (Medio)",ROUND('Tabla de Amortizacion'!D110,15),IF('CALCULADORA TIS Pesos H-2'!$F$10="10% (Medio Alto)",ROUND('Tabla de Amortizacion'!F110,15),IF('CALCULADORA TIS Pesos H-2'!$F$10="14% (Alto)",ROUND('Tabla de Amortizacion'!H110,15),IF('CALCULADORA TIS Pesos H-2'!$F$10="20%_",ROUND('Tabla de Amortizacion'!J110,15),ROUND('Tabla de Amortizacion'!L110,15))))))</f>
        <v>0</v>
      </c>
    </row>
    <row r="110" spans="1:2" ht="12.75">
      <c r="A110" s="29">
        <f t="shared" si="3"/>
        <v>46556</v>
      </c>
      <c r="B110" s="97">
        <f>IF('CALCULADORA TIS Pesos H-2'!$F$10="Contractual",ROUND('Tabla de Amortizacion'!B111,15),IF('CALCULADORA TIS Pesos H-2'!$F$10="6% (Medio)",ROUND('Tabla de Amortizacion'!D111,15),IF('CALCULADORA TIS Pesos H-2'!$F$10="10% (Medio Alto)",ROUND('Tabla de Amortizacion'!F111,15),IF('CALCULADORA TIS Pesos H-2'!$F$10="14% (Alto)",ROUND('Tabla de Amortizacion'!H111,15),IF('CALCULADORA TIS Pesos H-2'!$F$10="20%_",ROUND('Tabla de Amortizacion'!J111,15),ROUND('Tabla de Amortizacion'!L111,15))))))</f>
        <v>0</v>
      </c>
    </row>
    <row r="111" spans="1:2" ht="12.75">
      <c r="A111" s="29">
        <f t="shared" si="3"/>
        <v>46586</v>
      </c>
      <c r="B111" s="97">
        <f>IF('CALCULADORA TIS Pesos H-2'!$F$10="Contractual",ROUND('Tabla de Amortizacion'!B112,15),IF('CALCULADORA TIS Pesos H-2'!$F$10="6% (Medio)",ROUND('Tabla de Amortizacion'!D112,15),IF('CALCULADORA TIS Pesos H-2'!$F$10="10% (Medio Alto)",ROUND('Tabla de Amortizacion'!F112,15),IF('CALCULADORA TIS Pesos H-2'!$F$10="14% (Alto)",ROUND('Tabla de Amortizacion'!H112,15),IF('CALCULADORA TIS Pesos H-2'!$F$10="20%_",ROUND('Tabla de Amortizacion'!J112,15),ROUND('Tabla de Amortizacion'!L112,15))))))</f>
        <v>0</v>
      </c>
    </row>
    <row r="112" spans="1:2" ht="12.75">
      <c r="A112" s="29">
        <f t="shared" si="3"/>
        <v>46617</v>
      </c>
      <c r="B112" s="97">
        <f>IF('CALCULADORA TIS Pesos H-2'!$F$10="Contractual",ROUND('Tabla de Amortizacion'!B113,15),IF('CALCULADORA TIS Pesos H-2'!$F$10="6% (Medio)",ROUND('Tabla de Amortizacion'!D113,15),IF('CALCULADORA TIS Pesos H-2'!$F$10="10% (Medio Alto)",ROUND('Tabla de Amortizacion'!F113,15),IF('CALCULADORA TIS Pesos H-2'!$F$10="14% (Alto)",ROUND('Tabla de Amortizacion'!H113,15),IF('CALCULADORA TIS Pesos H-2'!$F$10="20%_",ROUND('Tabla de Amortizacion'!J113,15),ROUND('Tabla de Amortizacion'!L113,15))))))</f>
        <v>0</v>
      </c>
    </row>
    <row r="113" spans="1:2" ht="12.75">
      <c r="A113" s="29">
        <f t="shared" si="3"/>
        <v>46648</v>
      </c>
      <c r="B113" s="97">
        <f>IF('CALCULADORA TIS Pesos H-2'!$F$10="Contractual",ROUND('Tabla de Amortizacion'!B114,15),IF('CALCULADORA TIS Pesos H-2'!$F$10="6% (Medio)",ROUND('Tabla de Amortizacion'!D114,15),IF('CALCULADORA TIS Pesos H-2'!$F$10="10% (Medio Alto)",ROUND('Tabla de Amortizacion'!F114,15),IF('CALCULADORA TIS Pesos H-2'!$F$10="14% (Alto)",ROUND('Tabla de Amortizacion'!H114,15),IF('CALCULADORA TIS Pesos H-2'!$F$10="20%_",ROUND('Tabla de Amortizacion'!J114,15),ROUND('Tabla de Amortizacion'!L114,15))))))</f>
        <v>0</v>
      </c>
    </row>
    <row r="114" spans="1:2" ht="12.75">
      <c r="A114" s="29">
        <f t="shared" si="3"/>
        <v>46678</v>
      </c>
      <c r="B114" s="97">
        <f>IF('CALCULADORA TIS Pesos H-2'!$F$10="Contractual",ROUND('Tabla de Amortizacion'!B115,15),IF('CALCULADORA TIS Pesos H-2'!$F$10="6% (Medio)",ROUND('Tabla de Amortizacion'!D115,15),IF('CALCULADORA TIS Pesos H-2'!$F$10="10% (Medio Alto)",ROUND('Tabla de Amortizacion'!F115,15),IF('CALCULADORA TIS Pesos H-2'!$F$10="14% (Alto)",ROUND('Tabla de Amortizacion'!H115,15),IF('CALCULADORA TIS Pesos H-2'!$F$10="20%_",ROUND('Tabla de Amortizacion'!J115,15),ROUND('Tabla de Amortizacion'!L115,15))))))</f>
        <v>0</v>
      </c>
    </row>
    <row r="115" spans="1:2" ht="12.75">
      <c r="A115" s="29">
        <f t="shared" si="3"/>
        <v>46709</v>
      </c>
      <c r="B115" s="97">
        <f>IF('CALCULADORA TIS Pesos H-2'!$F$10="Contractual",ROUND('Tabla de Amortizacion'!B116,15),IF('CALCULADORA TIS Pesos H-2'!$F$10="6% (Medio)",ROUND('Tabla de Amortizacion'!D116,15),IF('CALCULADORA TIS Pesos H-2'!$F$10="10% (Medio Alto)",ROUND('Tabla de Amortizacion'!F116,15),IF('CALCULADORA TIS Pesos H-2'!$F$10="14% (Alto)",ROUND('Tabla de Amortizacion'!H116,15),IF('CALCULADORA TIS Pesos H-2'!$F$10="20%_",ROUND('Tabla de Amortizacion'!J116,15),ROUND('Tabla de Amortizacion'!L116,15))))))</f>
        <v>0</v>
      </c>
    </row>
    <row r="116" spans="1:2" ht="12.75">
      <c r="A116" s="29">
        <f t="shared" si="3"/>
        <v>46739</v>
      </c>
      <c r="B116" s="97">
        <f>IF('CALCULADORA TIS Pesos H-2'!$F$10="Contractual",ROUND('Tabla de Amortizacion'!B117,15),IF('CALCULADORA TIS Pesos H-2'!$F$10="6% (Medio)",ROUND('Tabla de Amortizacion'!D117,15),IF('CALCULADORA TIS Pesos H-2'!$F$10="10% (Medio Alto)",ROUND('Tabla de Amortizacion'!F117,15),IF('CALCULADORA TIS Pesos H-2'!$F$10="14% (Alto)",ROUND('Tabla de Amortizacion'!H117,15),IF('CALCULADORA TIS Pesos H-2'!$F$10="20%_",ROUND('Tabla de Amortizacion'!J117,15),ROUND('Tabla de Amortizacion'!L117,15))))))</f>
        <v>0</v>
      </c>
    </row>
    <row r="117" spans="1:2" ht="12.75">
      <c r="A117" s="29">
        <f t="shared" si="3"/>
        <v>46770</v>
      </c>
      <c r="B117" s="97">
        <f>IF('CALCULADORA TIS Pesos H-2'!$F$10="Contractual",ROUND('Tabla de Amortizacion'!B118,15),IF('CALCULADORA TIS Pesos H-2'!$F$10="6% (Medio)",ROUND('Tabla de Amortizacion'!D118,15),IF('CALCULADORA TIS Pesos H-2'!$F$10="10% (Medio Alto)",ROUND('Tabla de Amortizacion'!F118,15),IF('CALCULADORA TIS Pesos H-2'!$F$10="14% (Alto)",ROUND('Tabla de Amortizacion'!H118,15),IF('CALCULADORA TIS Pesos H-2'!$F$10="20%_",ROUND('Tabla de Amortizacion'!J118,15),ROUND('Tabla de Amortizacion'!L118,15))))))</f>
        <v>0</v>
      </c>
    </row>
    <row r="118" spans="1:2" ht="12.75">
      <c r="A118" s="29">
        <f t="shared" si="3"/>
        <v>46801</v>
      </c>
      <c r="B118" s="97">
        <f>IF('CALCULADORA TIS Pesos H-2'!$F$10="Contractual",ROUND('Tabla de Amortizacion'!B119,15),IF('CALCULADORA TIS Pesos H-2'!$F$10="6% (Medio)",ROUND('Tabla de Amortizacion'!D119,15),IF('CALCULADORA TIS Pesos H-2'!$F$10="10% (Medio Alto)",ROUND('Tabla de Amortizacion'!F119,15),IF('CALCULADORA TIS Pesos H-2'!$F$10="14% (Alto)",ROUND('Tabla de Amortizacion'!H119,15),IF('CALCULADORA TIS Pesos H-2'!$F$10="20%_",ROUND('Tabla de Amortizacion'!J119,15),ROUND('Tabla de Amortizacion'!L119,15))))))</f>
        <v>0</v>
      </c>
    </row>
    <row r="119" spans="1:2" ht="12.75">
      <c r="A119" s="29">
        <f t="shared" si="3"/>
        <v>46830</v>
      </c>
      <c r="B119" s="97">
        <f>IF('CALCULADORA TIS Pesos H-2'!$F$10="Contractual",ROUND('Tabla de Amortizacion'!B120,15),IF('CALCULADORA TIS Pesos H-2'!$F$10="6% (Medio)",ROUND('Tabla de Amortizacion'!D120,15),IF('CALCULADORA TIS Pesos H-2'!$F$10="10% (Medio Alto)",ROUND('Tabla de Amortizacion'!F120,15),IF('CALCULADORA TIS Pesos H-2'!$F$10="14% (Alto)",ROUND('Tabla de Amortizacion'!H120,15),IF('CALCULADORA TIS Pesos H-2'!$F$10="20%_",ROUND('Tabla de Amortizacion'!J120,15),ROUND('Tabla de Amortizacion'!L120,15))))))</f>
        <v>0</v>
      </c>
    </row>
    <row r="120" spans="1:2" ht="12.75">
      <c r="A120" s="29">
        <f t="shared" si="3"/>
        <v>46861</v>
      </c>
      <c r="B120" s="97">
        <f>IF('CALCULADORA TIS Pesos H-2'!$F$10="Contractual",ROUND('Tabla de Amortizacion'!B121,15),IF('CALCULADORA TIS Pesos H-2'!$F$10="6% (Medio)",ROUND('Tabla de Amortizacion'!D121,15),IF('CALCULADORA TIS Pesos H-2'!$F$10="10% (Medio Alto)",ROUND('Tabla de Amortizacion'!F121,15),IF('CALCULADORA TIS Pesos H-2'!$F$10="14% (Alto)",ROUND('Tabla de Amortizacion'!H121,15),IF('CALCULADORA TIS Pesos H-2'!$F$10="20%_",ROUND('Tabla de Amortizacion'!J121,15),ROUND('Tabla de Amortizacion'!L121,15))))))</f>
        <v>0</v>
      </c>
    </row>
    <row r="121" spans="1:2" ht="12.75">
      <c r="A121" s="29">
        <f t="shared" si="3"/>
        <v>46891</v>
      </c>
      <c r="B121" s="97">
        <f>IF('CALCULADORA TIS Pesos H-2'!$F$10="Contractual",ROUND('Tabla de Amortizacion'!B122,15),IF('CALCULADORA TIS Pesos H-2'!$F$10="6% (Medio)",ROUND('Tabla de Amortizacion'!D122,15),IF('CALCULADORA TIS Pesos H-2'!$F$10="10% (Medio Alto)",ROUND('Tabla de Amortizacion'!F122,15),IF('CALCULADORA TIS Pesos H-2'!$F$10="14% (Alto)",ROUND('Tabla de Amortizacion'!H122,15),IF('CALCULADORA TIS Pesos H-2'!$F$10="20%_",ROUND('Tabla de Amortizacion'!J122,15),ROUND('Tabla de Amortizacion'!L122,15))))))</f>
        <v>0</v>
      </c>
    </row>
    <row r="122" spans="1:2" ht="12.75">
      <c r="A122" s="29">
        <f t="shared" si="3"/>
        <v>46922</v>
      </c>
      <c r="B122" s="97">
        <f>IF('CALCULADORA TIS Pesos H-2'!$F$10="Contractual",ROUND('Tabla de Amortizacion'!B123,15),IF('CALCULADORA TIS Pesos H-2'!$F$10="6% (Medio)",ROUND('Tabla de Amortizacion'!D123,15),IF('CALCULADORA TIS Pesos H-2'!$F$10="10% (Medio Alto)",ROUND('Tabla de Amortizacion'!F123,15),IF('CALCULADORA TIS Pesos H-2'!$F$10="14% (Alto)",ROUND('Tabla de Amortizacion'!H123,15),IF('CALCULADORA TIS Pesos H-2'!$F$10="20%_",ROUND('Tabla de Amortizacion'!J123,15),ROUND('Tabla de Amortizacion'!L123,15))))))</f>
        <v>0</v>
      </c>
    </row>
    <row r="123" spans="1:2" ht="12.75">
      <c r="A123" s="29">
        <f t="shared" si="3"/>
        <v>46952</v>
      </c>
      <c r="B123" s="97">
        <f>IF('CALCULADORA TIS Pesos H-2'!$F$10="Contractual",ROUND('Tabla de Amortizacion'!B124,15),IF('CALCULADORA TIS Pesos H-2'!$F$10="6% (Medio)",ROUND('Tabla de Amortizacion'!D124,15),IF('CALCULADORA TIS Pesos H-2'!$F$10="10% (Medio Alto)",ROUND('Tabla de Amortizacion'!F124,15),IF('CALCULADORA TIS Pesos H-2'!$F$10="14% (Alto)",ROUND('Tabla de Amortizacion'!H124,15),IF('CALCULADORA TIS Pesos H-2'!$F$10="20%_",ROUND('Tabla de Amortizacion'!J124,15),ROUND('Tabla de Amortizacion'!L124,15))))))</f>
        <v>0</v>
      </c>
    </row>
    <row r="124" spans="1:2" ht="12.75">
      <c r="A124" s="29">
        <f t="shared" si="3"/>
        <v>46983</v>
      </c>
      <c r="B124" s="97">
        <f>IF('CALCULADORA TIS Pesos H-2'!$F$10="Contractual",ROUND('Tabla de Amortizacion'!B125,15),IF('CALCULADORA TIS Pesos H-2'!$F$10="6% (Medio)",ROUND('Tabla de Amortizacion'!D125,15),IF('CALCULADORA TIS Pesos H-2'!$F$10="10% (Medio Alto)",ROUND('Tabla de Amortizacion'!F125,15),IF('CALCULADORA TIS Pesos H-2'!$F$10="14% (Alto)",ROUND('Tabla de Amortizacion'!H125,15),IF('CALCULADORA TIS Pesos H-2'!$F$10="20%_",ROUND('Tabla de Amortizacion'!J125,15),ROUND('Tabla de Amortizacion'!L125,15))))))</f>
        <v>0</v>
      </c>
    </row>
    <row r="125" spans="1:2" ht="12.75">
      <c r="A125" s="29">
        <f t="shared" si="3"/>
        <v>47014</v>
      </c>
      <c r="B125" s="97">
        <f>IF('CALCULADORA TIS Pesos H-2'!$F$10="Contractual",ROUND('Tabla de Amortizacion'!B126,15),IF('CALCULADORA TIS Pesos H-2'!$F$10="6% (Medio)",ROUND('Tabla de Amortizacion'!D126,15),IF('CALCULADORA TIS Pesos H-2'!$F$10="10% (Medio Alto)",ROUND('Tabla de Amortizacion'!F126,15),IF('CALCULADORA TIS Pesos H-2'!$F$10="14% (Alto)",ROUND('Tabla de Amortizacion'!H126,15),IF('CALCULADORA TIS Pesos H-2'!$F$10="20%_",ROUND('Tabla de Amortizacion'!J126,15),ROUND('Tabla de Amortizacion'!L126,15))))))</f>
        <v>0</v>
      </c>
    </row>
    <row r="126" spans="1:2" ht="12.75">
      <c r="A126" s="29">
        <f t="shared" si="3"/>
        <v>47044</v>
      </c>
      <c r="B126" s="97">
        <f>IF('CALCULADORA TIS Pesos H-2'!$F$10="Contractual",ROUND('Tabla de Amortizacion'!B127,15),IF('CALCULADORA TIS Pesos H-2'!$F$10="6% (Medio)",ROUND('Tabla de Amortizacion'!D127,15),IF('CALCULADORA TIS Pesos H-2'!$F$10="10% (Medio Alto)",ROUND('Tabla de Amortizacion'!F127,15),IF('CALCULADORA TIS Pesos H-2'!$F$10="14% (Alto)",ROUND('Tabla de Amortizacion'!H127,15),IF('CALCULADORA TIS Pesos H-2'!$F$10="20%_",ROUND('Tabla de Amortizacion'!J127,15),ROUND('Tabla de Amortizacion'!L127,15))))))</f>
        <v>0</v>
      </c>
    </row>
    <row r="127" spans="1:2" ht="12.75">
      <c r="A127" s="29">
        <f t="shared" si="3"/>
        <v>47075</v>
      </c>
      <c r="B127" s="97">
        <f>IF('CALCULADORA TIS Pesos H-2'!$F$10="Contractual",ROUND('Tabla de Amortizacion'!B128,15),IF('CALCULADORA TIS Pesos H-2'!$F$10="6% (Medio)",ROUND('Tabla de Amortizacion'!D128,15),IF('CALCULADORA TIS Pesos H-2'!$F$10="10% (Medio Alto)",ROUND('Tabla de Amortizacion'!F128,15),IF('CALCULADORA TIS Pesos H-2'!$F$10="14% (Alto)",ROUND('Tabla de Amortizacion'!H128,15),IF('CALCULADORA TIS Pesos H-2'!$F$10="20%_",ROUND('Tabla de Amortizacion'!J128,15),ROUND('Tabla de Amortizacion'!L128,15))))))</f>
        <v>0</v>
      </c>
    </row>
    <row r="128" spans="1:2" ht="12.75">
      <c r="A128" s="29">
        <f t="shared" si="3"/>
        <v>47105</v>
      </c>
      <c r="B128" s="97">
        <f>IF('CALCULADORA TIS Pesos H-2'!$F$10="Contractual",ROUND('Tabla de Amortizacion'!B129,15),IF('CALCULADORA TIS Pesos H-2'!$F$10="6% (Medio)",ROUND('Tabla de Amortizacion'!D129,15),IF('CALCULADORA TIS Pesos H-2'!$F$10="10% (Medio Alto)",ROUND('Tabla de Amortizacion'!F129,15),IF('CALCULADORA TIS Pesos H-2'!$F$10="14% (Alto)",ROUND('Tabla de Amortizacion'!H129,15),IF('CALCULADORA TIS Pesos H-2'!$F$10="20%_",ROUND('Tabla de Amortizacion'!J129,15),ROUND('Tabla de Amortizacion'!L129,15))))))</f>
        <v>0</v>
      </c>
    </row>
    <row r="129" spans="1:2" ht="12.75">
      <c r="A129" s="29">
        <f t="shared" si="3"/>
        <v>47136</v>
      </c>
      <c r="B129" s="97">
        <f>IF('CALCULADORA TIS Pesos H-2'!$F$10="Contractual",ROUND('Tabla de Amortizacion'!B130,15),IF('CALCULADORA TIS Pesos H-2'!$F$10="6% (Medio)",ROUND('Tabla de Amortizacion'!D130,15),IF('CALCULADORA TIS Pesos H-2'!$F$10="10% (Medio Alto)",ROUND('Tabla de Amortizacion'!F130,15),IF('CALCULADORA TIS Pesos H-2'!$F$10="14% (Alto)",ROUND('Tabla de Amortizacion'!H130,15),IF('CALCULADORA TIS Pesos H-2'!$F$10="20%_",ROUND('Tabla de Amortizacion'!J130,15),ROUND('Tabla de Amortizacion'!L130,15))))))</f>
        <v>0</v>
      </c>
    </row>
    <row r="130" spans="1:2" ht="12.75">
      <c r="A130" s="29">
        <f t="shared" si="3"/>
        <v>47167</v>
      </c>
      <c r="B130" s="97">
        <f>IF('CALCULADORA TIS Pesos H-2'!$F$10="Contractual",ROUND('Tabla de Amortizacion'!B131,15),IF('CALCULADORA TIS Pesos H-2'!$F$10="6% (Medio)",ROUND('Tabla de Amortizacion'!D131,15),IF('CALCULADORA TIS Pesos H-2'!$F$10="10% (Medio Alto)",ROUND('Tabla de Amortizacion'!F131,15),IF('CALCULADORA TIS Pesos H-2'!$F$10="14% (Alto)",ROUND('Tabla de Amortizacion'!H131,15),IF('CALCULADORA TIS Pesos H-2'!$F$10="20%_",ROUND('Tabla de Amortizacion'!J131,15),ROUND('Tabla de Amortizacion'!L131,15))))))</f>
        <v>0</v>
      </c>
    </row>
    <row r="131" spans="1:2" ht="12.75">
      <c r="A131" s="29">
        <f aca="true" t="shared" si="4" ref="A131:A162">_XLL.FECHA.MES(A130,1)</f>
        <v>47195</v>
      </c>
      <c r="B131" s="97">
        <f>IF('CALCULADORA TIS Pesos H-2'!$F$10="Contractual",ROUND('Tabla de Amortizacion'!B132,15),IF('CALCULADORA TIS Pesos H-2'!$F$10="6% (Medio)",ROUND('Tabla de Amortizacion'!D132,15),IF('CALCULADORA TIS Pesos H-2'!$F$10="10% (Medio Alto)",ROUND('Tabla de Amortizacion'!F132,15),IF('CALCULADORA TIS Pesos H-2'!$F$10="14% (Alto)",ROUND('Tabla de Amortizacion'!H132,15),IF('CALCULADORA TIS Pesos H-2'!$F$10="20%_",ROUND('Tabla de Amortizacion'!J132,15),ROUND('Tabla de Amortizacion'!L132,15))))))</f>
        <v>0</v>
      </c>
    </row>
    <row r="132" spans="1:2" ht="12.75">
      <c r="A132" s="29">
        <f t="shared" si="4"/>
        <v>47226</v>
      </c>
      <c r="B132" s="97">
        <f>IF('CALCULADORA TIS Pesos H-2'!$F$10="Contractual",ROUND('Tabla de Amortizacion'!B133,15),IF('CALCULADORA TIS Pesos H-2'!$F$10="6% (Medio)",ROUND('Tabla de Amortizacion'!D133,15),IF('CALCULADORA TIS Pesos H-2'!$F$10="10% (Medio Alto)",ROUND('Tabla de Amortizacion'!F133,15),IF('CALCULADORA TIS Pesos H-2'!$F$10="14% (Alto)",ROUND('Tabla de Amortizacion'!H133,15),IF('CALCULADORA TIS Pesos H-2'!$F$10="20%_",ROUND('Tabla de Amortizacion'!J133,15),ROUND('Tabla de Amortizacion'!L133,15))))))</f>
        <v>0</v>
      </c>
    </row>
    <row r="133" spans="1:2" ht="12.75">
      <c r="A133" s="29">
        <f t="shared" si="4"/>
        <v>47256</v>
      </c>
      <c r="B133" s="97">
        <f>IF('CALCULADORA TIS Pesos H-2'!$F$10="Contractual",ROUND('Tabla de Amortizacion'!B134,15),IF('CALCULADORA TIS Pesos H-2'!$F$10="6% (Medio)",ROUND('Tabla de Amortizacion'!D134,15),IF('CALCULADORA TIS Pesos H-2'!$F$10="10% (Medio Alto)",ROUND('Tabla de Amortizacion'!F134,15),IF('CALCULADORA TIS Pesos H-2'!$F$10="14% (Alto)",ROUND('Tabla de Amortizacion'!H134,15),IF('CALCULADORA TIS Pesos H-2'!$F$10="20%_",ROUND('Tabla de Amortizacion'!J134,15),ROUND('Tabla de Amortizacion'!L134,15))))))</f>
        <v>0</v>
      </c>
    </row>
    <row r="134" spans="1:2" ht="12.75">
      <c r="A134" s="29">
        <f t="shared" si="4"/>
        <v>47287</v>
      </c>
      <c r="B134" s="97">
        <f>IF('CALCULADORA TIS Pesos H-2'!$F$10="Contractual",ROUND('Tabla de Amortizacion'!B135,15),IF('CALCULADORA TIS Pesos H-2'!$F$10="6% (Medio)",ROUND('Tabla de Amortizacion'!D135,15),IF('CALCULADORA TIS Pesos H-2'!$F$10="10% (Medio Alto)",ROUND('Tabla de Amortizacion'!F135,15),IF('CALCULADORA TIS Pesos H-2'!$F$10="14% (Alto)",ROUND('Tabla de Amortizacion'!H135,15),IF('CALCULADORA TIS Pesos H-2'!$F$10="20%_",ROUND('Tabla de Amortizacion'!J135,15),ROUND('Tabla de Amortizacion'!L135,15))))))</f>
        <v>0</v>
      </c>
    </row>
    <row r="135" spans="1:2" ht="12.75">
      <c r="A135" s="29">
        <f t="shared" si="4"/>
        <v>47317</v>
      </c>
      <c r="B135" s="97">
        <f>IF('CALCULADORA TIS Pesos H-2'!$F$10="Contractual",ROUND('Tabla de Amortizacion'!B136,15),IF('CALCULADORA TIS Pesos H-2'!$F$10="6% (Medio)",ROUND('Tabla de Amortizacion'!D136,15),IF('CALCULADORA TIS Pesos H-2'!$F$10="10% (Medio Alto)",ROUND('Tabla de Amortizacion'!F136,15),IF('CALCULADORA TIS Pesos H-2'!$F$10="14% (Alto)",ROUND('Tabla de Amortizacion'!H136,15),IF('CALCULADORA TIS Pesos H-2'!$F$10="20%_",ROUND('Tabla de Amortizacion'!J136,15),ROUND('Tabla de Amortizacion'!L136,15))))))</f>
        <v>0</v>
      </c>
    </row>
    <row r="136" spans="1:2" ht="12.75">
      <c r="A136" s="29">
        <f t="shared" si="4"/>
        <v>47348</v>
      </c>
      <c r="B136" s="97">
        <f>IF('CALCULADORA TIS Pesos H-2'!$F$10="Contractual",ROUND('Tabla de Amortizacion'!B137,15),IF('CALCULADORA TIS Pesos H-2'!$F$10="6% (Medio)",ROUND('Tabla de Amortizacion'!D137,15),IF('CALCULADORA TIS Pesos H-2'!$F$10="10% (Medio Alto)",ROUND('Tabla de Amortizacion'!F137,15),IF('CALCULADORA TIS Pesos H-2'!$F$10="14% (Alto)",ROUND('Tabla de Amortizacion'!H137,15),IF('CALCULADORA TIS Pesos H-2'!$F$10="20%_",ROUND('Tabla de Amortizacion'!J137,15),ROUND('Tabla de Amortizacion'!L137,15))))))</f>
        <v>0</v>
      </c>
    </row>
    <row r="137" spans="1:2" ht="12.75">
      <c r="A137" s="29">
        <f t="shared" si="4"/>
        <v>47379</v>
      </c>
      <c r="B137" s="97">
        <f>IF('CALCULADORA TIS Pesos H-2'!$F$10="Contractual",ROUND('Tabla de Amortizacion'!B138,15),IF('CALCULADORA TIS Pesos H-2'!$F$10="6% (Medio)",ROUND('Tabla de Amortizacion'!D138,15),IF('CALCULADORA TIS Pesos H-2'!$F$10="10% (Medio Alto)",ROUND('Tabla de Amortizacion'!F138,15),IF('CALCULADORA TIS Pesos H-2'!$F$10="14% (Alto)",ROUND('Tabla de Amortizacion'!H138,15),IF('CALCULADORA TIS Pesos H-2'!$F$10="20%_",ROUND('Tabla de Amortizacion'!J138,15),ROUND('Tabla de Amortizacion'!L138,15))))))</f>
        <v>0</v>
      </c>
    </row>
    <row r="138" spans="1:2" ht="12.75">
      <c r="A138" s="29">
        <f t="shared" si="4"/>
        <v>47409</v>
      </c>
      <c r="B138" s="97">
        <f>IF('CALCULADORA TIS Pesos H-2'!$F$10="Contractual",ROUND('Tabla de Amortizacion'!B139,15),IF('CALCULADORA TIS Pesos H-2'!$F$10="6% (Medio)",ROUND('Tabla de Amortizacion'!D139,15),IF('CALCULADORA TIS Pesos H-2'!$F$10="10% (Medio Alto)",ROUND('Tabla de Amortizacion'!F139,15),IF('CALCULADORA TIS Pesos H-2'!$F$10="14% (Alto)",ROUND('Tabla de Amortizacion'!H139,15),IF('CALCULADORA TIS Pesos H-2'!$F$10="20%_",ROUND('Tabla de Amortizacion'!J139,15),ROUND('Tabla de Amortizacion'!L139,15))))))</f>
        <v>0</v>
      </c>
    </row>
    <row r="139" spans="1:2" ht="12.75">
      <c r="A139" s="29">
        <f t="shared" si="4"/>
        <v>47440</v>
      </c>
      <c r="B139" s="97">
        <f>IF('CALCULADORA TIS Pesos H-2'!$F$10="Contractual",ROUND('Tabla de Amortizacion'!B140,15),IF('CALCULADORA TIS Pesos H-2'!$F$10="6% (Medio)",ROUND('Tabla de Amortizacion'!D140,15),IF('CALCULADORA TIS Pesos H-2'!$F$10="10% (Medio Alto)",ROUND('Tabla de Amortizacion'!F140,15),IF('CALCULADORA TIS Pesos H-2'!$F$10="14% (Alto)",ROUND('Tabla de Amortizacion'!H140,15),IF('CALCULADORA TIS Pesos H-2'!$F$10="20%_",ROUND('Tabla de Amortizacion'!J140,15),ROUND('Tabla de Amortizacion'!L140,15))))))</f>
        <v>0</v>
      </c>
    </row>
    <row r="140" spans="1:2" ht="12.75">
      <c r="A140" s="29">
        <f t="shared" si="4"/>
        <v>47470</v>
      </c>
      <c r="B140" s="97">
        <f>IF('CALCULADORA TIS Pesos H-2'!$F$10="Contractual",ROUND('Tabla de Amortizacion'!B141,15),IF('CALCULADORA TIS Pesos H-2'!$F$10="6% (Medio)",ROUND('Tabla de Amortizacion'!D141,15),IF('CALCULADORA TIS Pesos H-2'!$F$10="10% (Medio Alto)",ROUND('Tabla de Amortizacion'!F141,15),IF('CALCULADORA TIS Pesos H-2'!$F$10="14% (Alto)",ROUND('Tabla de Amortizacion'!H141,15),IF('CALCULADORA TIS Pesos H-2'!$F$10="20%_",ROUND('Tabla de Amortizacion'!J141,15),ROUND('Tabla de Amortizacion'!L141,15))))))</f>
        <v>0</v>
      </c>
    </row>
    <row r="141" spans="1:2" ht="12.75">
      <c r="A141" s="29">
        <f t="shared" si="4"/>
        <v>47501</v>
      </c>
      <c r="B141" s="97">
        <f>IF('CALCULADORA TIS Pesos H-2'!$F$10="Contractual",ROUND('Tabla de Amortizacion'!B142,15),IF('CALCULADORA TIS Pesos H-2'!$F$10="6% (Medio)",ROUND('Tabla de Amortizacion'!D142,15),IF('CALCULADORA TIS Pesos H-2'!$F$10="10% (Medio Alto)",ROUND('Tabla de Amortizacion'!F142,15),IF('CALCULADORA TIS Pesos H-2'!$F$10="14% (Alto)",ROUND('Tabla de Amortizacion'!H142,15),IF('CALCULADORA TIS Pesos H-2'!$F$10="20%_",ROUND('Tabla de Amortizacion'!J142,15),ROUND('Tabla de Amortizacion'!L142,15))))))</f>
        <v>0</v>
      </c>
    </row>
    <row r="142" spans="1:2" ht="12.75">
      <c r="A142" s="29">
        <f t="shared" si="4"/>
        <v>47532</v>
      </c>
      <c r="B142" s="97">
        <f>IF('CALCULADORA TIS Pesos H-2'!$F$10="Contractual",ROUND('Tabla de Amortizacion'!B143,15),IF('CALCULADORA TIS Pesos H-2'!$F$10="6% (Medio)",ROUND('Tabla de Amortizacion'!D143,15),IF('CALCULADORA TIS Pesos H-2'!$F$10="10% (Medio Alto)",ROUND('Tabla de Amortizacion'!F143,15),IF('CALCULADORA TIS Pesos H-2'!$F$10="14% (Alto)",ROUND('Tabla de Amortizacion'!H143,15),IF('CALCULADORA TIS Pesos H-2'!$F$10="20%_",ROUND('Tabla de Amortizacion'!J143,15),ROUND('Tabla de Amortizacion'!L143,15))))))</f>
        <v>0</v>
      </c>
    </row>
    <row r="143" spans="1:2" ht="12.75">
      <c r="A143" s="29">
        <f t="shared" si="4"/>
        <v>47560</v>
      </c>
      <c r="B143" s="97">
        <f>IF('CALCULADORA TIS Pesos H-2'!$F$10="Contractual",ROUND('Tabla de Amortizacion'!B144,15),IF('CALCULADORA TIS Pesos H-2'!$F$10="6% (Medio)",ROUND('Tabla de Amortizacion'!D144,15),IF('CALCULADORA TIS Pesos H-2'!$F$10="10% (Medio Alto)",ROUND('Tabla de Amortizacion'!F144,15),IF('CALCULADORA TIS Pesos H-2'!$F$10="14% (Alto)",ROUND('Tabla de Amortizacion'!H144,15),IF('CALCULADORA TIS Pesos H-2'!$F$10="20%_",ROUND('Tabla de Amortizacion'!J144,15),ROUND('Tabla de Amortizacion'!L144,15))))))</f>
        <v>0</v>
      </c>
    </row>
    <row r="144" spans="1:2" ht="12.75">
      <c r="A144" s="29">
        <f t="shared" si="4"/>
        <v>47591</v>
      </c>
      <c r="B144" s="97">
        <f>IF('CALCULADORA TIS Pesos H-2'!$F$10="Contractual",ROUND('Tabla de Amortizacion'!B145,15),IF('CALCULADORA TIS Pesos H-2'!$F$10="6% (Medio)",ROUND('Tabla de Amortizacion'!D145,15),IF('CALCULADORA TIS Pesos H-2'!$F$10="10% (Medio Alto)",ROUND('Tabla de Amortizacion'!F145,15),IF('CALCULADORA TIS Pesos H-2'!$F$10="14% (Alto)",ROUND('Tabla de Amortizacion'!H145,15),IF('CALCULADORA TIS Pesos H-2'!$F$10="20%_",ROUND('Tabla de Amortizacion'!J145,15),ROUND('Tabla de Amortizacion'!L145,15))))))</f>
        <v>0</v>
      </c>
    </row>
    <row r="145" spans="1:2" ht="12.75">
      <c r="A145" s="29">
        <f t="shared" si="4"/>
        <v>47621</v>
      </c>
      <c r="B145" s="97">
        <f>IF('CALCULADORA TIS Pesos H-2'!$F$10="Contractual",ROUND('Tabla de Amortizacion'!B146,15),IF('CALCULADORA TIS Pesos H-2'!$F$10="6% (Medio)",ROUND('Tabla de Amortizacion'!D146,15),IF('CALCULADORA TIS Pesos H-2'!$F$10="10% (Medio Alto)",ROUND('Tabla de Amortizacion'!F146,15),IF('CALCULADORA TIS Pesos H-2'!$F$10="14% (Alto)",ROUND('Tabla de Amortizacion'!H146,15),IF('CALCULADORA TIS Pesos H-2'!$F$10="20%_",ROUND('Tabla de Amortizacion'!J146,15),ROUND('Tabla de Amortizacion'!L146,15))))))</f>
        <v>0</v>
      </c>
    </row>
    <row r="146" spans="1:2" ht="12.75">
      <c r="A146" s="29">
        <f t="shared" si="4"/>
        <v>47652</v>
      </c>
      <c r="B146" s="97">
        <f>IF('CALCULADORA TIS Pesos H-2'!$F$10="Contractual",ROUND('Tabla de Amortizacion'!B147,15),IF('CALCULADORA TIS Pesos H-2'!$F$10="6% (Medio)",ROUND('Tabla de Amortizacion'!D147,15),IF('CALCULADORA TIS Pesos H-2'!$F$10="10% (Medio Alto)",ROUND('Tabla de Amortizacion'!F147,15),IF('CALCULADORA TIS Pesos H-2'!$F$10="14% (Alto)",ROUND('Tabla de Amortizacion'!H147,15),IF('CALCULADORA TIS Pesos H-2'!$F$10="20%_",ROUND('Tabla de Amortizacion'!J147,15),ROUND('Tabla de Amortizacion'!L147,15))))))</f>
        <v>0</v>
      </c>
    </row>
    <row r="147" spans="1:2" ht="12.75">
      <c r="A147" s="29">
        <f t="shared" si="4"/>
        <v>47682</v>
      </c>
      <c r="B147" s="97">
        <f>IF('CALCULADORA TIS Pesos H-2'!$F$10="Contractual",ROUND('Tabla de Amortizacion'!B148,15),IF('CALCULADORA TIS Pesos H-2'!$F$10="6% (Medio)",ROUND('Tabla de Amortizacion'!D148,15),IF('CALCULADORA TIS Pesos H-2'!$F$10="10% (Medio Alto)",ROUND('Tabla de Amortizacion'!F148,15),IF('CALCULADORA TIS Pesos H-2'!$F$10="14% (Alto)",ROUND('Tabla de Amortizacion'!H148,15),IF('CALCULADORA TIS Pesos H-2'!$F$10="20%_",ROUND('Tabla de Amortizacion'!J148,15),ROUND('Tabla de Amortizacion'!L148,15))))))</f>
        <v>0</v>
      </c>
    </row>
    <row r="148" spans="1:2" ht="12.75">
      <c r="A148" s="29">
        <f t="shared" si="4"/>
        <v>47713</v>
      </c>
      <c r="B148" s="97">
        <f>IF('CALCULADORA TIS Pesos H-2'!$F$10="Contractual",ROUND('Tabla de Amortizacion'!B149,15),IF('CALCULADORA TIS Pesos H-2'!$F$10="6% (Medio)",ROUND('Tabla de Amortizacion'!D149,15),IF('CALCULADORA TIS Pesos H-2'!$F$10="10% (Medio Alto)",ROUND('Tabla de Amortizacion'!F149,15),IF('CALCULADORA TIS Pesos H-2'!$F$10="14% (Alto)",ROUND('Tabla de Amortizacion'!H149,15),IF('CALCULADORA TIS Pesos H-2'!$F$10="20%_",ROUND('Tabla de Amortizacion'!J149,15),ROUND('Tabla de Amortizacion'!L149,15))))))</f>
        <v>0</v>
      </c>
    </row>
    <row r="149" spans="1:2" ht="12.75">
      <c r="A149" s="29">
        <f t="shared" si="4"/>
        <v>47744</v>
      </c>
      <c r="B149" s="97">
        <f>IF('CALCULADORA TIS Pesos H-2'!$F$10="Contractual",ROUND('Tabla de Amortizacion'!B150,15),IF('CALCULADORA TIS Pesos H-2'!$F$10="6% (Medio)",ROUND('Tabla de Amortizacion'!D150,15),IF('CALCULADORA TIS Pesos H-2'!$F$10="10% (Medio Alto)",ROUND('Tabla de Amortizacion'!F150,15),IF('CALCULADORA TIS Pesos H-2'!$F$10="14% (Alto)",ROUND('Tabla de Amortizacion'!H150,15),IF('CALCULADORA TIS Pesos H-2'!$F$10="20%_",ROUND('Tabla de Amortizacion'!J150,15),ROUND('Tabla de Amortizacion'!L150,15))))))</f>
        <v>0</v>
      </c>
    </row>
    <row r="150" spans="1:2" ht="12.75">
      <c r="A150" s="29">
        <f t="shared" si="4"/>
        <v>47774</v>
      </c>
      <c r="B150" s="97">
        <f>IF('CALCULADORA TIS Pesos H-2'!$F$10="Contractual",ROUND('Tabla de Amortizacion'!B151,15),IF('CALCULADORA TIS Pesos H-2'!$F$10="6% (Medio)",ROUND('Tabla de Amortizacion'!D151,15),IF('CALCULADORA TIS Pesos H-2'!$F$10="10% (Medio Alto)",ROUND('Tabla de Amortizacion'!F151,15),IF('CALCULADORA TIS Pesos H-2'!$F$10="14% (Alto)",ROUND('Tabla de Amortizacion'!H151,15),IF('CALCULADORA TIS Pesos H-2'!$F$10="20%_",ROUND('Tabla de Amortizacion'!J151,15),ROUND('Tabla de Amortizacion'!L151,15))))))</f>
        <v>0</v>
      </c>
    </row>
    <row r="151" spans="1:2" ht="12.75">
      <c r="A151" s="29">
        <f t="shared" si="4"/>
        <v>47805</v>
      </c>
      <c r="B151" s="97">
        <f>IF('CALCULADORA TIS Pesos H-2'!$F$10="Contractual",ROUND('Tabla de Amortizacion'!B152,15),IF('CALCULADORA TIS Pesos H-2'!$F$10="6% (Medio)",ROUND('Tabla de Amortizacion'!D152,15),IF('CALCULADORA TIS Pesos H-2'!$F$10="10% (Medio Alto)",ROUND('Tabla de Amortizacion'!F152,15),IF('CALCULADORA TIS Pesos H-2'!$F$10="14% (Alto)",ROUND('Tabla de Amortizacion'!H152,15),IF('CALCULADORA TIS Pesos H-2'!$F$10="20%_",ROUND('Tabla de Amortizacion'!J152,15),ROUND('Tabla de Amortizacion'!L152,15))))))</f>
        <v>0</v>
      </c>
    </row>
    <row r="152" spans="1:2" ht="12.75">
      <c r="A152" s="29">
        <f t="shared" si="4"/>
        <v>47835</v>
      </c>
      <c r="B152" s="97">
        <f>IF('CALCULADORA TIS Pesos H-2'!$F$10="Contractual",ROUND('Tabla de Amortizacion'!B153,15),IF('CALCULADORA TIS Pesos H-2'!$F$10="6% (Medio)",ROUND('Tabla de Amortizacion'!D153,15),IF('CALCULADORA TIS Pesos H-2'!$F$10="10% (Medio Alto)",ROUND('Tabla de Amortizacion'!F153,15),IF('CALCULADORA TIS Pesos H-2'!$F$10="14% (Alto)",ROUND('Tabla de Amortizacion'!H153,15),IF('CALCULADORA TIS Pesos H-2'!$F$10="20%_",ROUND('Tabla de Amortizacion'!J153,15),ROUND('Tabla de Amortizacion'!L153,15))))))</f>
        <v>0</v>
      </c>
    </row>
    <row r="153" spans="1:2" ht="12.75">
      <c r="A153" s="29">
        <f t="shared" si="4"/>
        <v>47866</v>
      </c>
      <c r="B153" s="97">
        <f>IF('CALCULADORA TIS Pesos H-2'!$F$10="Contractual",ROUND('Tabla de Amortizacion'!B154,15),IF('CALCULADORA TIS Pesos H-2'!$F$10="6% (Medio)",ROUND('Tabla de Amortizacion'!D154,15),IF('CALCULADORA TIS Pesos H-2'!$F$10="10% (Medio Alto)",ROUND('Tabla de Amortizacion'!F154,15),IF('CALCULADORA TIS Pesos H-2'!$F$10="14% (Alto)",ROUND('Tabla de Amortizacion'!H154,15),IF('CALCULADORA TIS Pesos H-2'!$F$10="20%_",ROUND('Tabla de Amortizacion'!J154,15),ROUND('Tabla de Amortizacion'!L154,15))))))</f>
        <v>0</v>
      </c>
    </row>
    <row r="154" spans="1:2" ht="12.75">
      <c r="A154" s="29">
        <f t="shared" si="4"/>
        <v>47897</v>
      </c>
      <c r="B154" s="97">
        <f>IF('CALCULADORA TIS Pesos H-2'!$F$10="Contractual",ROUND('Tabla de Amortizacion'!B155,15),IF('CALCULADORA TIS Pesos H-2'!$F$10="6% (Medio)",ROUND('Tabla de Amortizacion'!D155,15),IF('CALCULADORA TIS Pesos H-2'!$F$10="10% (Medio Alto)",ROUND('Tabla de Amortizacion'!F155,15),IF('CALCULADORA TIS Pesos H-2'!$F$10="14% (Alto)",ROUND('Tabla de Amortizacion'!H155,15),IF('CALCULADORA TIS Pesos H-2'!$F$10="20%_",ROUND('Tabla de Amortizacion'!J155,15),ROUND('Tabla de Amortizacion'!L155,15))))))</f>
        <v>0</v>
      </c>
    </row>
    <row r="155" spans="1:2" ht="12.75">
      <c r="A155" s="29">
        <f t="shared" si="4"/>
        <v>47925</v>
      </c>
      <c r="B155" s="97">
        <f>IF('CALCULADORA TIS Pesos H-2'!$F$10="Contractual",ROUND('Tabla de Amortizacion'!B156,15),IF('CALCULADORA TIS Pesos H-2'!$F$10="6% (Medio)",ROUND('Tabla de Amortizacion'!D156,15),IF('CALCULADORA TIS Pesos H-2'!$F$10="10% (Medio Alto)",ROUND('Tabla de Amortizacion'!F156,15),IF('CALCULADORA TIS Pesos H-2'!$F$10="14% (Alto)",ROUND('Tabla de Amortizacion'!H156,15),IF('CALCULADORA TIS Pesos H-2'!$F$10="20%_",ROUND('Tabla de Amortizacion'!J156,15),ROUND('Tabla de Amortizacion'!L156,15))))))</f>
        <v>0</v>
      </c>
    </row>
    <row r="156" spans="1:2" ht="12.75">
      <c r="A156" s="29">
        <f t="shared" si="4"/>
        <v>47956</v>
      </c>
      <c r="B156" s="97">
        <f>IF('CALCULADORA TIS Pesos H-2'!$F$10="Contractual",ROUND('Tabla de Amortizacion'!B157,15),IF('CALCULADORA TIS Pesos H-2'!$F$10="6% (Medio)",ROUND('Tabla de Amortizacion'!D157,15),IF('CALCULADORA TIS Pesos H-2'!$F$10="10% (Medio Alto)",ROUND('Tabla de Amortizacion'!F157,15),IF('CALCULADORA TIS Pesos H-2'!$F$10="14% (Alto)",ROUND('Tabla de Amortizacion'!H157,15),IF('CALCULADORA TIS Pesos H-2'!$F$10="20%_",ROUND('Tabla de Amortizacion'!J157,15),ROUND('Tabla de Amortizacion'!L157,15))))))</f>
        <v>0</v>
      </c>
    </row>
    <row r="157" spans="1:2" ht="12.75">
      <c r="A157" s="29">
        <f t="shared" si="4"/>
        <v>47986</v>
      </c>
      <c r="B157" s="97">
        <f>IF('CALCULADORA TIS Pesos H-2'!$F$10="Contractual",ROUND('Tabla de Amortizacion'!B158,15),IF('CALCULADORA TIS Pesos H-2'!$F$10="6% (Medio)",ROUND('Tabla de Amortizacion'!D158,15),IF('CALCULADORA TIS Pesos H-2'!$F$10="10% (Medio Alto)",ROUND('Tabla de Amortizacion'!F158,15),IF('CALCULADORA TIS Pesos H-2'!$F$10="14% (Alto)",ROUND('Tabla de Amortizacion'!H158,15),IF('CALCULADORA TIS Pesos H-2'!$F$10="20%_",ROUND('Tabla de Amortizacion'!J158,15),ROUND('Tabla de Amortizacion'!L158,15))))))</f>
        <v>0</v>
      </c>
    </row>
    <row r="158" spans="1:2" ht="12.75">
      <c r="A158" s="29">
        <f t="shared" si="4"/>
        <v>48017</v>
      </c>
      <c r="B158" s="97">
        <f>IF('CALCULADORA TIS Pesos H-2'!$F$10="Contractual",ROUND('Tabla de Amortizacion'!B159,15),IF('CALCULADORA TIS Pesos H-2'!$F$10="6% (Medio)",ROUND('Tabla de Amortizacion'!D159,15),IF('CALCULADORA TIS Pesos H-2'!$F$10="10% (Medio Alto)",ROUND('Tabla de Amortizacion'!F159,15),IF('CALCULADORA TIS Pesos H-2'!$F$10="14% (Alto)",ROUND('Tabla de Amortizacion'!H159,15),IF('CALCULADORA TIS Pesos H-2'!$F$10="20%_",ROUND('Tabla de Amortizacion'!J159,15),ROUND('Tabla de Amortizacion'!L159,15))))))</f>
        <v>0</v>
      </c>
    </row>
    <row r="159" spans="1:2" ht="12.75">
      <c r="A159" s="29">
        <f t="shared" si="4"/>
        <v>48047</v>
      </c>
      <c r="B159" s="97">
        <f>IF('CALCULADORA TIS Pesos H-2'!$F$10="Contractual",ROUND('Tabla de Amortizacion'!B160,15),IF('CALCULADORA TIS Pesos H-2'!$F$10="6% (Medio)",ROUND('Tabla de Amortizacion'!D160,15),IF('CALCULADORA TIS Pesos H-2'!$F$10="10% (Medio Alto)",ROUND('Tabla de Amortizacion'!F160,15),IF('CALCULADORA TIS Pesos H-2'!$F$10="14% (Alto)",ROUND('Tabla de Amortizacion'!H160,15),IF('CALCULADORA TIS Pesos H-2'!$F$10="20%_",ROUND('Tabla de Amortizacion'!J160,15),ROUND('Tabla de Amortizacion'!L160,15))))))</f>
        <v>0</v>
      </c>
    </row>
    <row r="160" spans="1:2" ht="12.75">
      <c r="A160" s="29">
        <f t="shared" si="4"/>
        <v>48078</v>
      </c>
      <c r="B160" s="97">
        <f>IF('CALCULADORA TIS Pesos H-2'!$F$10="Contractual",ROUND('Tabla de Amortizacion'!B161,15),IF('CALCULADORA TIS Pesos H-2'!$F$10="6% (Medio)",ROUND('Tabla de Amortizacion'!D161,15),IF('CALCULADORA TIS Pesos H-2'!$F$10="10% (Medio Alto)",ROUND('Tabla de Amortizacion'!F161,15),IF('CALCULADORA TIS Pesos H-2'!$F$10="14% (Alto)",ROUND('Tabla de Amortizacion'!H161,15),IF('CALCULADORA TIS Pesos H-2'!$F$10="20%_",ROUND('Tabla de Amortizacion'!J161,15),ROUND('Tabla de Amortizacion'!L161,15))))))</f>
        <v>0</v>
      </c>
    </row>
    <row r="161" spans="1:2" ht="12.75">
      <c r="A161" s="29">
        <f t="shared" si="4"/>
        <v>48109</v>
      </c>
      <c r="B161" s="97">
        <f>IF('CALCULADORA TIS Pesos H-2'!$F$10="Contractual",ROUND('Tabla de Amortizacion'!B162,15),IF('CALCULADORA TIS Pesos H-2'!$F$10="6% (Medio)",ROUND('Tabla de Amortizacion'!D162,15),IF('CALCULADORA TIS Pesos H-2'!$F$10="10% (Medio Alto)",ROUND('Tabla de Amortizacion'!F162,15),IF('CALCULADORA TIS Pesos H-2'!$F$10="14% (Alto)",ROUND('Tabla de Amortizacion'!H162,15),IF('CALCULADORA TIS Pesos H-2'!$F$10="20%_",ROUND('Tabla de Amortizacion'!J162,15),ROUND('Tabla de Amortizacion'!L162,15))))))</f>
        <v>0</v>
      </c>
    </row>
    <row r="162" spans="1:2" ht="12.75">
      <c r="A162" s="29">
        <f t="shared" si="4"/>
        <v>48139</v>
      </c>
      <c r="B162" s="97">
        <f>IF('CALCULADORA TIS Pesos H-2'!$F$10="Contractual",ROUND('Tabla de Amortizacion'!B163,15),IF('CALCULADORA TIS Pesos H-2'!$F$10="6% (Medio)",ROUND('Tabla de Amortizacion'!D163,15),IF('CALCULADORA TIS Pesos H-2'!$F$10="10% (Medio Alto)",ROUND('Tabla de Amortizacion'!F163,15),IF('CALCULADORA TIS Pesos H-2'!$F$10="14% (Alto)",ROUND('Tabla de Amortizacion'!H163,15),IF('CALCULADORA TIS Pesos H-2'!$F$10="20%_",ROUND('Tabla de Amortizacion'!J163,15),ROUND('Tabla de Amortizacion'!L163,15))))))</f>
        <v>0</v>
      </c>
    </row>
    <row r="163" spans="1:2" ht="12.75">
      <c r="A163" s="29">
        <f aca="true" t="shared" si="5" ref="A163:A181">_XLL.FECHA.MES(A162,1)</f>
        <v>48170</v>
      </c>
      <c r="B163" s="97">
        <f>IF('CALCULADORA TIS Pesos H-2'!$F$10="Contractual",ROUND('Tabla de Amortizacion'!B164,15),IF('CALCULADORA TIS Pesos H-2'!$F$10="6% (Medio)",ROUND('Tabla de Amortizacion'!D164,15),IF('CALCULADORA TIS Pesos H-2'!$F$10="10% (Medio Alto)",ROUND('Tabla de Amortizacion'!F164,15),IF('CALCULADORA TIS Pesos H-2'!$F$10="14% (Alto)",ROUND('Tabla de Amortizacion'!H164,15),IF('CALCULADORA TIS Pesos H-2'!$F$10="20%_",ROUND('Tabla de Amortizacion'!J164,15),ROUND('Tabla de Amortizacion'!L164,15))))))</f>
        <v>0</v>
      </c>
    </row>
    <row r="164" spans="1:2" ht="12.75">
      <c r="A164" s="29">
        <f t="shared" si="5"/>
        <v>48200</v>
      </c>
      <c r="B164" s="97">
        <f>IF('CALCULADORA TIS Pesos H-2'!$F$10="Contractual",ROUND('Tabla de Amortizacion'!B165,15),IF('CALCULADORA TIS Pesos H-2'!$F$10="6% (Medio)",ROUND('Tabla de Amortizacion'!D165,15),IF('CALCULADORA TIS Pesos H-2'!$F$10="10% (Medio Alto)",ROUND('Tabla de Amortizacion'!F165,15),IF('CALCULADORA TIS Pesos H-2'!$F$10="14% (Alto)",ROUND('Tabla de Amortizacion'!H165,15),IF('CALCULADORA TIS Pesos H-2'!$F$10="20%_",ROUND('Tabla de Amortizacion'!J165,15),ROUND('Tabla de Amortizacion'!L165,15))))))</f>
        <v>0</v>
      </c>
    </row>
    <row r="165" spans="1:2" ht="12.75">
      <c r="A165" s="29">
        <f t="shared" si="5"/>
        <v>48231</v>
      </c>
      <c r="B165" s="97">
        <f>IF('CALCULADORA TIS Pesos H-2'!$F$10="Contractual",ROUND('Tabla de Amortizacion'!B166,15),IF('CALCULADORA TIS Pesos H-2'!$F$10="6% (Medio)",ROUND('Tabla de Amortizacion'!D166,15),IF('CALCULADORA TIS Pesos H-2'!$F$10="10% (Medio Alto)",ROUND('Tabla de Amortizacion'!F166,15),IF('CALCULADORA TIS Pesos H-2'!$F$10="14% (Alto)",ROUND('Tabla de Amortizacion'!H166,15),IF('CALCULADORA TIS Pesos H-2'!$F$10="20%_",ROUND('Tabla de Amortizacion'!J166,15),ROUND('Tabla de Amortizacion'!L166,15))))))</f>
        <v>0</v>
      </c>
    </row>
    <row r="166" spans="1:2" ht="12.75">
      <c r="A166" s="29">
        <f t="shared" si="5"/>
        <v>48262</v>
      </c>
      <c r="B166" s="97">
        <f>IF('CALCULADORA TIS Pesos H-2'!$F$10="Contractual",ROUND('Tabla de Amortizacion'!B167,15),IF('CALCULADORA TIS Pesos H-2'!$F$10="6% (Medio)",ROUND('Tabla de Amortizacion'!D167,15),IF('CALCULADORA TIS Pesos H-2'!$F$10="10% (Medio Alto)",ROUND('Tabla de Amortizacion'!F167,15),IF('CALCULADORA TIS Pesos H-2'!$F$10="14% (Alto)",ROUND('Tabla de Amortizacion'!H167,15),IF('CALCULADORA TIS Pesos H-2'!$F$10="20%_",ROUND('Tabla de Amortizacion'!J167,15),ROUND('Tabla de Amortizacion'!L167,15))))))</f>
        <v>0</v>
      </c>
    </row>
    <row r="167" spans="1:2" ht="12.75">
      <c r="A167" s="29">
        <f t="shared" si="5"/>
        <v>48291</v>
      </c>
      <c r="B167" s="97">
        <f>IF('CALCULADORA TIS Pesos H-2'!$F$10="Contractual",ROUND('Tabla de Amortizacion'!B168,15),IF('CALCULADORA TIS Pesos H-2'!$F$10="6% (Medio)",ROUND('Tabla de Amortizacion'!D168,15),IF('CALCULADORA TIS Pesos H-2'!$F$10="10% (Medio Alto)",ROUND('Tabla de Amortizacion'!F168,15),IF('CALCULADORA TIS Pesos H-2'!$F$10="14% (Alto)",ROUND('Tabla de Amortizacion'!H168,15),IF('CALCULADORA TIS Pesos H-2'!$F$10="20%_",ROUND('Tabla de Amortizacion'!J168,15),ROUND('Tabla de Amortizacion'!L168,15))))))</f>
        <v>0</v>
      </c>
    </row>
    <row r="168" spans="1:2" ht="12.75">
      <c r="A168" s="29">
        <f t="shared" si="5"/>
        <v>48322</v>
      </c>
      <c r="B168" s="97">
        <f>IF('CALCULADORA TIS Pesos H-2'!$F$10="Contractual",ROUND('Tabla de Amortizacion'!B169,15),IF('CALCULADORA TIS Pesos H-2'!$F$10="6% (Medio)",ROUND('Tabla de Amortizacion'!D169,15),IF('CALCULADORA TIS Pesos H-2'!$F$10="10% (Medio Alto)",ROUND('Tabla de Amortizacion'!F169,15),IF('CALCULADORA TIS Pesos H-2'!$F$10="14% (Alto)",ROUND('Tabla de Amortizacion'!H169,15),IF('CALCULADORA TIS Pesos H-2'!$F$10="20%_",ROUND('Tabla de Amortizacion'!J169,15),ROUND('Tabla de Amortizacion'!L169,15))))))</f>
        <v>0</v>
      </c>
    </row>
    <row r="169" spans="1:2" ht="12.75">
      <c r="A169" s="29">
        <f t="shared" si="5"/>
        <v>48352</v>
      </c>
      <c r="B169" s="97">
        <f>IF('CALCULADORA TIS Pesos H-2'!$F$10="Contractual",ROUND('Tabla de Amortizacion'!B170,15),IF('CALCULADORA TIS Pesos H-2'!$F$10="6% (Medio)",ROUND('Tabla de Amortizacion'!D170,15),IF('CALCULADORA TIS Pesos H-2'!$F$10="10% (Medio Alto)",ROUND('Tabla de Amortizacion'!F170,15),IF('CALCULADORA TIS Pesos H-2'!$F$10="14% (Alto)",ROUND('Tabla de Amortizacion'!H170,15),IF('CALCULADORA TIS Pesos H-2'!$F$10="20%_",ROUND('Tabla de Amortizacion'!J170,15),ROUND('Tabla de Amortizacion'!L170,15))))))</f>
        <v>0</v>
      </c>
    </row>
    <row r="170" spans="1:2" ht="12.75">
      <c r="A170" s="29">
        <f t="shared" si="5"/>
        <v>48383</v>
      </c>
      <c r="B170" s="97">
        <f>IF('CALCULADORA TIS Pesos H-2'!$F$10="Contractual",ROUND('Tabla de Amortizacion'!B171,15),IF('CALCULADORA TIS Pesos H-2'!$F$10="6% (Medio)",ROUND('Tabla de Amortizacion'!D171,15),IF('CALCULADORA TIS Pesos H-2'!$F$10="10% (Medio Alto)",ROUND('Tabla de Amortizacion'!F171,15),IF('CALCULADORA TIS Pesos H-2'!$F$10="14% (Alto)",ROUND('Tabla de Amortizacion'!H171,15),IF('CALCULADORA TIS Pesos H-2'!$F$10="20%_",ROUND('Tabla de Amortizacion'!J171,15),ROUND('Tabla de Amortizacion'!L171,15))))))</f>
        <v>0</v>
      </c>
    </row>
    <row r="171" spans="1:2" ht="12.75">
      <c r="A171" s="29">
        <f t="shared" si="5"/>
        <v>48413</v>
      </c>
      <c r="B171" s="97">
        <f>IF('CALCULADORA TIS Pesos H-2'!$F$10="Contractual",ROUND('Tabla de Amortizacion'!B172,15),IF('CALCULADORA TIS Pesos H-2'!$F$10="6% (Medio)",ROUND('Tabla de Amortizacion'!D172,15),IF('CALCULADORA TIS Pesos H-2'!$F$10="10% (Medio Alto)",ROUND('Tabla de Amortizacion'!F172,15),IF('CALCULADORA TIS Pesos H-2'!$F$10="14% (Alto)",ROUND('Tabla de Amortizacion'!H172,15),IF('CALCULADORA TIS Pesos H-2'!$F$10="20%_",ROUND('Tabla de Amortizacion'!J172,15),ROUND('Tabla de Amortizacion'!L172,15))))))</f>
        <v>0</v>
      </c>
    </row>
    <row r="172" spans="1:2" ht="12.75">
      <c r="A172" s="29">
        <f t="shared" si="5"/>
        <v>48444</v>
      </c>
      <c r="B172" s="97">
        <f>IF('CALCULADORA TIS Pesos H-2'!$F$10="Contractual",ROUND('Tabla de Amortizacion'!B173,15),IF('CALCULADORA TIS Pesos H-2'!$F$10="6% (Medio)",ROUND('Tabla de Amortizacion'!D173,15),IF('CALCULADORA TIS Pesos H-2'!$F$10="10% (Medio Alto)",ROUND('Tabla de Amortizacion'!F173,15),IF('CALCULADORA TIS Pesos H-2'!$F$10="14% (Alto)",ROUND('Tabla de Amortizacion'!H173,15),IF('CALCULADORA TIS Pesos H-2'!$F$10="20%_",ROUND('Tabla de Amortizacion'!J173,15),ROUND('Tabla de Amortizacion'!L173,15))))))</f>
        <v>0</v>
      </c>
    </row>
    <row r="173" spans="1:2" ht="12.75">
      <c r="A173" s="29">
        <f t="shared" si="5"/>
        <v>48475</v>
      </c>
      <c r="B173" s="97">
        <f>IF('CALCULADORA TIS Pesos H-2'!$F$10="Contractual",ROUND('Tabla de Amortizacion'!B174,15),IF('CALCULADORA TIS Pesos H-2'!$F$10="6% (Medio)",ROUND('Tabla de Amortizacion'!D174,15),IF('CALCULADORA TIS Pesos H-2'!$F$10="10% (Medio Alto)",ROUND('Tabla de Amortizacion'!F174,15),IF('CALCULADORA TIS Pesos H-2'!$F$10="14% (Alto)",ROUND('Tabla de Amortizacion'!H174,15),IF('CALCULADORA TIS Pesos H-2'!$F$10="20%_",ROUND('Tabla de Amortizacion'!J174,15),ROUND('Tabla de Amortizacion'!L174,15))))))</f>
        <v>0</v>
      </c>
    </row>
    <row r="174" spans="1:2" ht="12.75">
      <c r="A174" s="29">
        <f t="shared" si="5"/>
        <v>48505</v>
      </c>
      <c r="B174" s="97">
        <f>IF('CALCULADORA TIS Pesos H-2'!$F$10="Contractual",ROUND('Tabla de Amortizacion'!B175,15),IF('CALCULADORA TIS Pesos H-2'!$F$10="6% (Medio)",ROUND('Tabla de Amortizacion'!D175,15),IF('CALCULADORA TIS Pesos H-2'!$F$10="10% (Medio Alto)",ROUND('Tabla de Amortizacion'!F175,15),IF('CALCULADORA TIS Pesos H-2'!$F$10="14% (Alto)",ROUND('Tabla de Amortizacion'!H175,15),IF('CALCULADORA TIS Pesos H-2'!$F$10="20%_",ROUND('Tabla de Amortizacion'!J175,15),ROUND('Tabla de Amortizacion'!L175,15))))))</f>
        <v>0</v>
      </c>
    </row>
    <row r="175" spans="1:2" ht="12.75">
      <c r="A175" s="29">
        <f t="shared" si="5"/>
        <v>48536</v>
      </c>
      <c r="B175" s="97">
        <f>IF('CALCULADORA TIS Pesos H-2'!$F$10="Contractual",ROUND('Tabla de Amortizacion'!B176,15),IF('CALCULADORA TIS Pesos H-2'!$F$10="6% (Medio)",ROUND('Tabla de Amortizacion'!D176,15),IF('CALCULADORA TIS Pesos H-2'!$F$10="10% (Medio Alto)",ROUND('Tabla de Amortizacion'!F176,15),IF('CALCULADORA TIS Pesos H-2'!$F$10="14% (Alto)",ROUND('Tabla de Amortizacion'!H176,15),IF('CALCULADORA TIS Pesos H-2'!$F$10="20%_",ROUND('Tabla de Amortizacion'!J176,15),ROUND('Tabla de Amortizacion'!L176,15))))))</f>
        <v>0</v>
      </c>
    </row>
    <row r="176" spans="1:2" ht="12.75">
      <c r="A176" s="29">
        <f t="shared" si="5"/>
        <v>48566</v>
      </c>
      <c r="B176" s="97">
        <f>IF('CALCULADORA TIS Pesos H-2'!$F$10="Contractual",ROUND('Tabla de Amortizacion'!B177,15),IF('CALCULADORA TIS Pesos H-2'!$F$10="6% (Medio)",ROUND('Tabla de Amortizacion'!D177,15),IF('CALCULADORA TIS Pesos H-2'!$F$10="10% (Medio Alto)",ROUND('Tabla de Amortizacion'!F177,15),IF('CALCULADORA TIS Pesos H-2'!$F$10="14% (Alto)",ROUND('Tabla de Amortizacion'!H177,15),IF('CALCULADORA TIS Pesos H-2'!$F$10="20%_",ROUND('Tabla de Amortizacion'!J177,15),ROUND('Tabla de Amortizacion'!L177,15))))))</f>
        <v>0</v>
      </c>
    </row>
    <row r="177" spans="1:2" ht="12.75">
      <c r="A177" s="29">
        <f t="shared" si="5"/>
        <v>48597</v>
      </c>
      <c r="B177" s="97">
        <f>IF('CALCULADORA TIS Pesos H-2'!$F$10="Contractual",ROUND('Tabla de Amortizacion'!B178,15),IF('CALCULADORA TIS Pesos H-2'!$F$10="6% (Medio)",ROUND('Tabla de Amortizacion'!D178,15),IF('CALCULADORA TIS Pesos H-2'!$F$10="10% (Medio Alto)",ROUND('Tabla de Amortizacion'!F178,15),IF('CALCULADORA TIS Pesos H-2'!$F$10="14% (Alto)",ROUND('Tabla de Amortizacion'!H178,15),IF('CALCULADORA TIS Pesos H-2'!$F$10="20%_",ROUND('Tabla de Amortizacion'!J178,15),ROUND('Tabla de Amortizacion'!L178,15))))))</f>
        <v>0</v>
      </c>
    </row>
    <row r="178" spans="1:2" ht="12.75">
      <c r="A178" s="29">
        <f t="shared" si="5"/>
        <v>48628</v>
      </c>
      <c r="B178" s="97">
        <f>IF('CALCULADORA TIS Pesos H-2'!$F$10="Contractual",ROUND('Tabla de Amortizacion'!B179,15),IF('CALCULADORA TIS Pesos H-2'!$F$10="6% (Medio)",ROUND('Tabla de Amortizacion'!D179,15),IF('CALCULADORA TIS Pesos H-2'!$F$10="10% (Medio Alto)",ROUND('Tabla de Amortizacion'!F179,15),IF('CALCULADORA TIS Pesos H-2'!$F$10="14% (Alto)",ROUND('Tabla de Amortizacion'!H179,15),IF('CALCULADORA TIS Pesos H-2'!$F$10="20%_",ROUND('Tabla de Amortizacion'!J179,15),ROUND('Tabla de Amortizacion'!L179,15))))))</f>
        <v>0</v>
      </c>
    </row>
    <row r="179" spans="1:2" ht="12.75">
      <c r="A179" s="29">
        <f t="shared" si="5"/>
        <v>48656</v>
      </c>
      <c r="B179" s="97">
        <f>IF('CALCULADORA TIS Pesos H-2'!$F$10="Contractual",ROUND('Tabla de Amortizacion'!B180,15),IF('CALCULADORA TIS Pesos H-2'!$F$10="6% (Medio)",ROUND('Tabla de Amortizacion'!D180,15),IF('CALCULADORA TIS Pesos H-2'!$F$10="10% (Medio Alto)",ROUND('Tabla de Amortizacion'!F180,15),IF('CALCULADORA TIS Pesos H-2'!$F$10="14% (Alto)",ROUND('Tabla de Amortizacion'!H180,15),IF('CALCULADORA TIS Pesos H-2'!$F$10="20%_",ROUND('Tabla de Amortizacion'!J180,15),ROUND('Tabla de Amortizacion'!L180,15))))))</f>
        <v>0</v>
      </c>
    </row>
    <row r="180" spans="1:2" ht="12.75">
      <c r="A180" s="29">
        <f t="shared" si="5"/>
        <v>48687</v>
      </c>
      <c r="B180" s="97">
        <f>IF('CALCULADORA TIS Pesos H-2'!$F$10="Contractual",ROUND('Tabla de Amortizacion'!B181,15),IF('CALCULADORA TIS Pesos H-2'!$F$10="6% (Medio)",ROUND('Tabla de Amortizacion'!D181,15),IF('CALCULADORA TIS Pesos H-2'!$F$10="10% (Medio Alto)",ROUND('Tabla de Amortizacion'!F181,15),IF('CALCULADORA TIS Pesos H-2'!$F$10="14% (Alto)",ROUND('Tabla de Amortizacion'!H181,15),IF('CALCULADORA TIS Pesos H-2'!$F$10="20%_",ROUND('Tabla de Amortizacion'!J181,15),ROUND('Tabla de Amortizacion'!L181,15))))))</f>
        <v>0</v>
      </c>
    </row>
    <row r="181" spans="1:2" ht="13.5" thickBot="1">
      <c r="A181" s="30">
        <f t="shared" si="5"/>
        <v>48717</v>
      </c>
      <c r="B181" s="97">
        <f>IF('CALCULADORA TIS Pesos H-2'!$F$10="Contractual",ROUND('Tabla de Amortizacion'!B182,15),IF('CALCULADORA TIS Pesos H-2'!$F$10="6% (Medio)",ROUND('Tabla de Amortizacion'!D182,15),IF('CALCULADORA TIS Pesos H-2'!$F$10="10% (Medio Alto)",ROUND('Tabla de Amortizacion'!F182,15),IF('CALCULADORA TIS Pesos H-2'!$F$10="14% (Alto)",ROUND('Tabla de Amortizacion'!H182,15),IF('CALCULADORA TIS Pesos H-2'!$F$10="20%_",ROUND('Tabla de Amortizacion'!J182,15),ROUND('Tabla de Amortizacion'!L182,15))))))</f>
        <v>0</v>
      </c>
    </row>
  </sheetData>
  <sheetProtection password="C5F9" sheet="1"/>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3"/>
  <dimension ref="A1:M185"/>
  <sheetViews>
    <sheetView zoomScale="85" zoomScaleNormal="85" zoomScaleSheetLayoutView="85" zoomScalePageLayoutView="0" workbookViewId="0" topLeftCell="A1">
      <pane xSplit="1" ySplit="2" topLeftCell="B57" activePane="bottomRight" state="frozen"/>
      <selection pane="topLeft" activeCell="A1" sqref="A1"/>
      <selection pane="topRight" activeCell="B1" sqref="B1"/>
      <selection pane="bottomLeft" activeCell="A3" sqref="A3"/>
      <selection pane="bottomRight" activeCell="D75" sqref="D75"/>
    </sheetView>
  </sheetViews>
  <sheetFormatPr defaultColWidth="0" defaultRowHeight="12.75"/>
  <cols>
    <col min="1" max="1" width="13.28125" style="6" bestFit="1" customWidth="1"/>
    <col min="2" max="2" width="33.8515625" style="6" bestFit="1" customWidth="1"/>
    <col min="3" max="3" width="3.421875" style="6" customWidth="1"/>
    <col min="4" max="4" width="30.28125" style="6" bestFit="1" customWidth="1"/>
    <col min="5" max="5" width="3.421875" style="6" customWidth="1"/>
    <col min="6" max="6" width="35.28125" style="6" bestFit="1" customWidth="1"/>
    <col min="7" max="7" width="3.421875" style="6" customWidth="1"/>
    <col min="8" max="8" width="29.57421875" style="6" bestFit="1" customWidth="1"/>
    <col min="9" max="9" width="3.421875" style="6" customWidth="1"/>
    <col min="10" max="10" width="24.421875" style="6" bestFit="1" customWidth="1"/>
    <col min="11" max="11" width="4.8515625" style="6" customWidth="1"/>
    <col min="12" max="12" width="29.140625" style="6" bestFit="1" customWidth="1"/>
    <col min="13" max="13" width="11.421875" style="6" customWidth="1"/>
    <col min="14" max="19" width="11.421875" style="6" hidden="1" customWidth="1"/>
    <col min="20" max="16384" width="0" style="6" hidden="1" customWidth="1"/>
  </cols>
  <sheetData>
    <row r="1" spans="1:12" ht="13.5" thickBot="1">
      <c r="A1" s="225" t="s">
        <v>0</v>
      </c>
      <c r="B1" s="74" t="s">
        <v>41</v>
      </c>
      <c r="D1" s="74" t="s">
        <v>42</v>
      </c>
      <c r="F1" s="74" t="s">
        <v>43</v>
      </c>
      <c r="H1" s="74" t="s">
        <v>44</v>
      </c>
      <c r="J1" s="74" t="s">
        <v>45</v>
      </c>
      <c r="L1" s="74" t="s">
        <v>1</v>
      </c>
    </row>
    <row r="2" spans="1:12" ht="13.5" thickBot="1">
      <c r="A2" s="226"/>
      <c r="B2" s="94" t="str">
        <f>+Características!$B$1</f>
        <v>TIS Pesos H-2 A 2028</v>
      </c>
      <c r="D2" s="95" t="str">
        <f>+Características!$B$1</f>
        <v>TIS Pesos H-2 A 2028</v>
      </c>
      <c r="F2" s="95" t="str">
        <f>+Características!$B$1</f>
        <v>TIS Pesos H-2 A 2028</v>
      </c>
      <c r="H2" s="95" t="str">
        <f>+Características!$B$1</f>
        <v>TIS Pesos H-2 A 2028</v>
      </c>
      <c r="J2" s="95" t="str">
        <f>+Características!$B$1</f>
        <v>TIS Pesos H-2 A 2028</v>
      </c>
      <c r="K2" s="96"/>
      <c r="L2" s="95" t="str">
        <f>+Características!$B$1</f>
        <v>TIS Pesos H-2 A 2028</v>
      </c>
    </row>
    <row r="3" spans="1:12" ht="15">
      <c r="A3" s="173">
        <v>43269</v>
      </c>
      <c r="B3" s="209">
        <v>0.00852759</v>
      </c>
      <c r="C3" s="73"/>
      <c r="D3" s="199">
        <v>0.00852759</v>
      </c>
      <c r="E3" s="190"/>
      <c r="F3" s="199">
        <v>0.00852759</v>
      </c>
      <c r="G3" s="188"/>
      <c r="H3" s="199">
        <v>0.00852759</v>
      </c>
      <c r="I3" s="188"/>
      <c r="J3" s="199">
        <v>0.00852759</v>
      </c>
      <c r="K3" s="188"/>
      <c r="L3" s="199">
        <v>0.00852759</v>
      </c>
    </row>
    <row r="4" spans="1:12" ht="15">
      <c r="A4" s="169">
        <v>43299</v>
      </c>
      <c r="B4" s="209">
        <v>0.00723951</v>
      </c>
      <c r="C4" s="83"/>
      <c r="D4" s="200">
        <v>0.00723951</v>
      </c>
      <c r="E4" s="190"/>
      <c r="F4" s="200">
        <v>0.00723951</v>
      </c>
      <c r="G4" s="189"/>
      <c r="H4" s="200">
        <v>0.00723951</v>
      </c>
      <c r="I4" s="189"/>
      <c r="J4" s="200">
        <v>0.00723951</v>
      </c>
      <c r="K4" s="189"/>
      <c r="L4" s="200">
        <v>0.00723951</v>
      </c>
    </row>
    <row r="5" spans="1:12" ht="15">
      <c r="A5" s="169">
        <v>43330</v>
      </c>
      <c r="B5" s="209">
        <v>0.01197496</v>
      </c>
      <c r="C5" s="73"/>
      <c r="D5" s="200">
        <v>0.01197496</v>
      </c>
      <c r="E5" s="190"/>
      <c r="F5" s="200">
        <v>0.01197496</v>
      </c>
      <c r="G5" s="189"/>
      <c r="H5" s="200">
        <v>0.01197496</v>
      </c>
      <c r="I5" s="189"/>
      <c r="J5" s="200">
        <v>0.01197496</v>
      </c>
      <c r="K5" s="189"/>
      <c r="L5" s="200">
        <v>0.01197496</v>
      </c>
    </row>
    <row r="6" spans="1:12" ht="15">
      <c r="A6" s="173">
        <v>43361</v>
      </c>
      <c r="B6" s="209">
        <v>0.01073998</v>
      </c>
      <c r="C6" s="83"/>
      <c r="D6" s="200">
        <v>0.01073998</v>
      </c>
      <c r="E6" s="190"/>
      <c r="F6" s="200">
        <v>0.01073998</v>
      </c>
      <c r="G6" s="189"/>
      <c r="H6" s="200">
        <v>0.01073998</v>
      </c>
      <c r="I6" s="189"/>
      <c r="J6" s="200">
        <v>0.01073998</v>
      </c>
      <c r="K6" s="189"/>
      <c r="L6" s="200">
        <v>0.01073998</v>
      </c>
    </row>
    <row r="7" spans="1:12" ht="15">
      <c r="A7" s="169">
        <v>43391</v>
      </c>
      <c r="B7" s="209">
        <v>0.00884823</v>
      </c>
      <c r="D7" s="200">
        <v>0.00884823</v>
      </c>
      <c r="E7" s="190"/>
      <c r="F7" s="200">
        <v>0.00884823</v>
      </c>
      <c r="G7" s="189"/>
      <c r="H7" s="200">
        <v>0.00884823</v>
      </c>
      <c r="I7" s="189"/>
      <c r="J7" s="200">
        <v>0.00884823</v>
      </c>
      <c r="K7" s="201"/>
      <c r="L7" s="200">
        <v>0.00884823</v>
      </c>
    </row>
    <row r="8" spans="1:12" ht="15">
      <c r="A8" s="169">
        <v>43422</v>
      </c>
      <c r="B8" s="209">
        <v>0.00865193</v>
      </c>
      <c r="C8" s="83"/>
      <c r="D8" s="200">
        <v>0.00865193</v>
      </c>
      <c r="E8" s="190"/>
      <c r="F8" s="200">
        <v>0.00865193</v>
      </c>
      <c r="G8" s="189"/>
      <c r="H8" s="200">
        <v>0.00865193</v>
      </c>
      <c r="I8" s="189"/>
      <c r="J8" s="200">
        <v>0.00865193</v>
      </c>
      <c r="K8" s="201"/>
      <c r="L8" s="200">
        <v>0.00865193</v>
      </c>
    </row>
    <row r="9" spans="1:12" ht="15">
      <c r="A9" s="173">
        <v>43452</v>
      </c>
      <c r="B9" s="209">
        <v>0.02201505</v>
      </c>
      <c r="C9" s="73"/>
      <c r="D9" s="200">
        <v>0.02201505</v>
      </c>
      <c r="E9" s="190"/>
      <c r="F9" s="200">
        <v>0.02201505</v>
      </c>
      <c r="G9" s="189"/>
      <c r="H9" s="200">
        <v>0.02201505</v>
      </c>
      <c r="I9" s="189"/>
      <c r="J9" s="200">
        <v>0.02201505</v>
      </c>
      <c r="K9" s="201"/>
      <c r="L9" s="200">
        <v>0.02201505</v>
      </c>
    </row>
    <row r="10" spans="1:12" ht="15">
      <c r="A10" s="169">
        <v>43483</v>
      </c>
      <c r="B10" s="209">
        <v>0.01252877</v>
      </c>
      <c r="C10" s="83"/>
      <c r="D10" s="200">
        <v>0.01252877</v>
      </c>
      <c r="E10" s="190"/>
      <c r="F10" s="200">
        <v>0.01252877</v>
      </c>
      <c r="G10" s="189"/>
      <c r="H10" s="200">
        <v>0.01252877</v>
      </c>
      <c r="I10" s="189"/>
      <c r="J10" s="200">
        <v>0.01252877</v>
      </c>
      <c r="K10" s="201"/>
      <c r="L10" s="200">
        <v>0.01252877</v>
      </c>
    </row>
    <row r="11" spans="1:12" ht="15">
      <c r="A11" s="169">
        <v>43514</v>
      </c>
      <c r="B11" s="209">
        <v>0.01046112</v>
      </c>
      <c r="C11" s="83"/>
      <c r="D11" s="200">
        <v>0.01046112</v>
      </c>
      <c r="E11" s="190"/>
      <c r="F11" s="200">
        <v>0.01046112</v>
      </c>
      <c r="G11" s="189"/>
      <c r="H11" s="200">
        <v>0.01046112</v>
      </c>
      <c r="I11" s="189"/>
      <c r="J11" s="200">
        <v>0.01046112</v>
      </c>
      <c r="K11" s="201"/>
      <c r="L11" s="200">
        <v>0.01046112</v>
      </c>
    </row>
    <row r="12" spans="1:12" ht="15">
      <c r="A12" s="173">
        <v>43542</v>
      </c>
      <c r="B12" s="209">
        <v>0.01183189</v>
      </c>
      <c r="C12" s="73"/>
      <c r="D12" s="200">
        <v>0.01183189</v>
      </c>
      <c r="E12" s="190"/>
      <c r="F12" s="200">
        <v>0.01183189</v>
      </c>
      <c r="G12" s="189"/>
      <c r="H12" s="200">
        <v>0.01183189</v>
      </c>
      <c r="I12" s="189"/>
      <c r="J12" s="200">
        <v>0.01183189</v>
      </c>
      <c r="K12" s="201"/>
      <c r="L12" s="200">
        <v>0.01183189</v>
      </c>
    </row>
    <row r="13" spans="1:12" ht="15">
      <c r="A13" s="169">
        <v>43573</v>
      </c>
      <c r="B13" s="209">
        <v>0.01248592</v>
      </c>
      <c r="C13" s="83"/>
      <c r="D13" s="200">
        <v>0.01248592</v>
      </c>
      <c r="E13" s="190"/>
      <c r="F13" s="200">
        <v>0.01248592</v>
      </c>
      <c r="G13" s="189"/>
      <c r="H13" s="200">
        <v>0.01248592</v>
      </c>
      <c r="I13" s="189"/>
      <c r="J13" s="200">
        <v>0.01248592</v>
      </c>
      <c r="K13" s="201"/>
      <c r="L13" s="200">
        <v>0.01248592</v>
      </c>
    </row>
    <row r="14" spans="1:12" ht="15">
      <c r="A14" s="169">
        <v>43603</v>
      </c>
      <c r="B14" s="209">
        <v>0.01136195</v>
      </c>
      <c r="C14" s="83"/>
      <c r="D14" s="200">
        <v>0.01136195</v>
      </c>
      <c r="E14" s="190"/>
      <c r="F14" s="200">
        <v>0.01136195</v>
      </c>
      <c r="G14" s="189"/>
      <c r="H14" s="200">
        <v>0.01136195</v>
      </c>
      <c r="I14" s="189"/>
      <c r="J14" s="200">
        <v>0.01136195</v>
      </c>
      <c r="K14" s="201"/>
      <c r="L14" s="200">
        <v>0.01136195</v>
      </c>
    </row>
    <row r="15" spans="1:12" ht="15">
      <c r="A15" s="173">
        <v>43634</v>
      </c>
      <c r="B15" s="209">
        <v>0.00895034</v>
      </c>
      <c r="C15" s="73"/>
      <c r="D15" s="200">
        <v>0.00895034</v>
      </c>
      <c r="E15" s="190"/>
      <c r="F15" s="200">
        <v>0.00895034</v>
      </c>
      <c r="G15" s="189"/>
      <c r="H15" s="200">
        <v>0.00895034</v>
      </c>
      <c r="I15" s="189"/>
      <c r="J15" s="200">
        <v>0.00895034</v>
      </c>
      <c r="K15" s="201"/>
      <c r="L15" s="200">
        <v>0.00895034</v>
      </c>
    </row>
    <row r="16" spans="1:12" ht="15">
      <c r="A16" s="169">
        <v>43664</v>
      </c>
      <c r="B16" s="209">
        <v>0.00996476</v>
      </c>
      <c r="C16" s="73"/>
      <c r="D16" s="200">
        <v>0.00996476</v>
      </c>
      <c r="E16" s="190"/>
      <c r="F16" s="200">
        <v>0.00996476</v>
      </c>
      <c r="G16" s="189"/>
      <c r="H16" s="200">
        <v>0.00996476</v>
      </c>
      <c r="I16" s="189"/>
      <c r="J16" s="200">
        <v>0.00996476</v>
      </c>
      <c r="K16" s="201"/>
      <c r="L16" s="200">
        <v>0.00996476</v>
      </c>
    </row>
    <row r="17" spans="1:12" ht="15">
      <c r="A17" s="169">
        <v>43695</v>
      </c>
      <c r="B17" s="209">
        <v>0.01311297</v>
      </c>
      <c r="C17" s="73"/>
      <c r="D17" s="200">
        <v>0.01311297</v>
      </c>
      <c r="E17" s="190"/>
      <c r="F17" s="200">
        <v>0.01311297</v>
      </c>
      <c r="G17" s="189"/>
      <c r="H17" s="200">
        <v>0.01311297</v>
      </c>
      <c r="I17" s="189"/>
      <c r="J17" s="200">
        <v>0.01311297</v>
      </c>
      <c r="K17" s="201"/>
      <c r="L17" s="200">
        <v>0.01311297</v>
      </c>
    </row>
    <row r="18" spans="1:12" ht="15">
      <c r="A18" s="173">
        <v>43726</v>
      </c>
      <c r="B18" s="209">
        <v>0.01009979</v>
      </c>
      <c r="C18" s="73"/>
      <c r="D18" s="200">
        <v>0.01009979</v>
      </c>
      <c r="E18" s="190"/>
      <c r="F18" s="200">
        <v>0.01009979</v>
      </c>
      <c r="G18" s="189"/>
      <c r="H18" s="200">
        <v>0.01009979</v>
      </c>
      <c r="I18" s="189"/>
      <c r="J18" s="200">
        <v>0.01009979</v>
      </c>
      <c r="K18" s="201"/>
      <c r="L18" s="200">
        <v>0.01009979</v>
      </c>
    </row>
    <row r="19" spans="1:12" ht="15">
      <c r="A19" s="169">
        <v>43756</v>
      </c>
      <c r="B19" s="209">
        <v>0.01541992</v>
      </c>
      <c r="C19" s="73"/>
      <c r="D19" s="200">
        <v>0.01541992</v>
      </c>
      <c r="E19" s="190"/>
      <c r="F19" s="200">
        <v>0.01541992</v>
      </c>
      <c r="G19" s="189"/>
      <c r="H19" s="200">
        <v>0.01541992</v>
      </c>
      <c r="I19" s="189"/>
      <c r="J19" s="200">
        <v>0.01541992</v>
      </c>
      <c r="K19" s="201"/>
      <c r="L19" s="200">
        <v>0.01541992</v>
      </c>
    </row>
    <row r="20" spans="1:12" ht="15">
      <c r="A20" s="169">
        <v>43787</v>
      </c>
      <c r="B20" s="209">
        <v>0.00956318</v>
      </c>
      <c r="C20" s="73"/>
      <c r="D20" s="200">
        <v>0.00956318</v>
      </c>
      <c r="E20" s="190"/>
      <c r="F20" s="200">
        <v>0.00956318</v>
      </c>
      <c r="G20" s="189"/>
      <c r="H20" s="200">
        <v>0.00956318</v>
      </c>
      <c r="I20" s="189"/>
      <c r="J20" s="200">
        <v>0.00956318</v>
      </c>
      <c r="K20" s="201"/>
      <c r="L20" s="200">
        <v>0.00956318</v>
      </c>
    </row>
    <row r="21" spans="1:12" ht="15">
      <c r="A21" s="173">
        <v>43817</v>
      </c>
      <c r="B21" s="209">
        <v>0.0098829</v>
      </c>
      <c r="C21" s="73"/>
      <c r="D21" s="200">
        <v>0.0098829</v>
      </c>
      <c r="E21" s="190"/>
      <c r="F21" s="200">
        <v>0.0098829</v>
      </c>
      <c r="G21" s="189"/>
      <c r="H21" s="200">
        <v>0.0098829</v>
      </c>
      <c r="I21" s="189"/>
      <c r="J21" s="200">
        <v>0.0098829</v>
      </c>
      <c r="K21" s="201"/>
      <c r="L21" s="200">
        <v>0.0098829</v>
      </c>
    </row>
    <row r="22" spans="1:12" ht="15">
      <c r="A22" s="169">
        <v>43848</v>
      </c>
      <c r="B22" s="209">
        <v>0.01306335</v>
      </c>
      <c r="C22" s="73"/>
      <c r="D22" s="200">
        <v>0.01306335</v>
      </c>
      <c r="E22" s="190"/>
      <c r="F22" s="200">
        <v>0.01306335</v>
      </c>
      <c r="G22" s="189"/>
      <c r="H22" s="200">
        <v>0.01306335</v>
      </c>
      <c r="I22" s="189"/>
      <c r="J22" s="200">
        <v>0.01306335</v>
      </c>
      <c r="K22" s="201"/>
      <c r="L22" s="200">
        <v>0.01306335</v>
      </c>
    </row>
    <row r="23" spans="1:12" ht="15">
      <c r="A23" s="169">
        <v>43879</v>
      </c>
      <c r="B23" s="209">
        <v>0.01267342</v>
      </c>
      <c r="C23" s="73"/>
      <c r="D23" s="200">
        <v>0.01267342</v>
      </c>
      <c r="E23" s="190"/>
      <c r="F23" s="200">
        <v>0.01267342</v>
      </c>
      <c r="G23" s="189"/>
      <c r="H23" s="200">
        <v>0.01267342</v>
      </c>
      <c r="I23" s="189"/>
      <c r="J23" s="200">
        <v>0.01267342</v>
      </c>
      <c r="K23" s="201"/>
      <c r="L23" s="200">
        <v>0.01267342</v>
      </c>
    </row>
    <row r="24" spans="1:12" ht="15">
      <c r="A24" s="173">
        <v>43908</v>
      </c>
      <c r="B24" s="209">
        <v>0.01243269</v>
      </c>
      <c r="C24" s="73"/>
      <c r="D24" s="200">
        <v>0.01243269</v>
      </c>
      <c r="E24" s="190"/>
      <c r="F24" s="200">
        <v>0.01243269</v>
      </c>
      <c r="G24" s="189"/>
      <c r="H24" s="200">
        <v>0.01243269</v>
      </c>
      <c r="I24" s="189"/>
      <c r="J24" s="200">
        <v>0.01243269</v>
      </c>
      <c r="K24" s="201"/>
      <c r="L24" s="200">
        <v>0.01243269</v>
      </c>
    </row>
    <row r="25" spans="1:12" ht="15">
      <c r="A25" s="169">
        <v>43939</v>
      </c>
      <c r="B25" s="209">
        <v>0.00323761</v>
      </c>
      <c r="C25" s="73"/>
      <c r="D25" s="200">
        <v>0.00323761</v>
      </c>
      <c r="E25" s="190"/>
      <c r="F25" s="200">
        <v>0.00323761</v>
      </c>
      <c r="G25" s="189"/>
      <c r="H25" s="200">
        <v>0.00323761</v>
      </c>
      <c r="I25" s="189"/>
      <c r="J25" s="200">
        <v>0.00323761</v>
      </c>
      <c r="K25" s="201"/>
      <c r="L25" s="200">
        <v>0.00323761</v>
      </c>
    </row>
    <row r="26" spans="1:12" ht="15">
      <c r="A26" s="169">
        <v>43969</v>
      </c>
      <c r="B26" s="209">
        <v>0.00549995</v>
      </c>
      <c r="C26" s="73"/>
      <c r="D26" s="200">
        <v>0.00549995</v>
      </c>
      <c r="E26" s="190"/>
      <c r="F26" s="200">
        <v>0.00549995</v>
      </c>
      <c r="G26" s="189"/>
      <c r="H26" s="200">
        <v>0.00549995</v>
      </c>
      <c r="I26" s="189"/>
      <c r="J26" s="200">
        <v>0.00549995</v>
      </c>
      <c r="K26" s="201"/>
      <c r="L26" s="200">
        <v>0.00549995</v>
      </c>
    </row>
    <row r="27" spans="1:12" ht="15">
      <c r="A27" s="173">
        <v>44000</v>
      </c>
      <c r="B27" s="209">
        <v>0.00559362</v>
      </c>
      <c r="C27" s="73"/>
      <c r="D27" s="200">
        <v>0.00559362</v>
      </c>
      <c r="E27" s="190"/>
      <c r="F27" s="200">
        <v>0.00559362</v>
      </c>
      <c r="G27" s="189"/>
      <c r="H27" s="200">
        <v>0.00559362</v>
      </c>
      <c r="I27" s="189"/>
      <c r="J27" s="200">
        <v>0.00559362</v>
      </c>
      <c r="K27" s="201"/>
      <c r="L27" s="200">
        <v>0.00559362</v>
      </c>
    </row>
    <row r="28" spans="1:12" ht="15">
      <c r="A28" s="169">
        <v>44030</v>
      </c>
      <c r="B28" s="209">
        <v>0.00508297</v>
      </c>
      <c r="C28" s="73"/>
      <c r="D28" s="200">
        <v>0.00508297</v>
      </c>
      <c r="E28" s="190"/>
      <c r="F28" s="200">
        <v>0.00508297</v>
      </c>
      <c r="G28" s="189"/>
      <c r="H28" s="200">
        <v>0.00508297</v>
      </c>
      <c r="I28" s="189"/>
      <c r="J28" s="200">
        <v>0.00508297</v>
      </c>
      <c r="K28" s="201"/>
      <c r="L28" s="200">
        <v>0.00508297</v>
      </c>
    </row>
    <row r="29" spans="1:12" ht="15">
      <c r="A29" s="169">
        <v>44061</v>
      </c>
      <c r="B29" s="209">
        <v>0.00535197</v>
      </c>
      <c r="C29" s="83"/>
      <c r="D29" s="200">
        <v>0.00535197</v>
      </c>
      <c r="E29" s="190"/>
      <c r="F29" s="200">
        <v>0.00535197</v>
      </c>
      <c r="G29" s="189"/>
      <c r="H29" s="200">
        <v>0.00535197</v>
      </c>
      <c r="I29" s="189"/>
      <c r="J29" s="200">
        <v>0.00535197</v>
      </c>
      <c r="K29" s="201"/>
      <c r="L29" s="200">
        <v>0.00535197</v>
      </c>
    </row>
    <row r="30" spans="1:12" ht="15">
      <c r="A30" s="169">
        <v>44092</v>
      </c>
      <c r="B30" s="209">
        <v>0.00945885</v>
      </c>
      <c r="C30" s="83"/>
      <c r="D30" s="200">
        <v>0.00945885</v>
      </c>
      <c r="E30" s="190"/>
      <c r="F30" s="200">
        <v>0.00945885</v>
      </c>
      <c r="G30" s="189"/>
      <c r="H30" s="200">
        <v>0.00945885</v>
      </c>
      <c r="I30" s="189"/>
      <c r="J30" s="200">
        <v>0.00945885</v>
      </c>
      <c r="K30" s="201"/>
      <c r="L30" s="200">
        <v>0.00945885</v>
      </c>
    </row>
    <row r="31" spans="1:12" ht="15">
      <c r="A31" s="173">
        <v>44122</v>
      </c>
      <c r="B31" s="209">
        <v>0.01620233</v>
      </c>
      <c r="C31" s="73"/>
      <c r="D31" s="200">
        <v>0.01620233</v>
      </c>
      <c r="E31" s="190"/>
      <c r="F31" s="200">
        <v>0.01620233</v>
      </c>
      <c r="G31" s="189"/>
      <c r="H31" s="200">
        <v>0.01620233</v>
      </c>
      <c r="I31" s="189"/>
      <c r="J31" s="200">
        <v>0.01620233</v>
      </c>
      <c r="K31" s="201"/>
      <c r="L31" s="200">
        <v>0.01620233</v>
      </c>
    </row>
    <row r="32" spans="1:12" ht="15">
      <c r="A32" s="169">
        <v>44153</v>
      </c>
      <c r="B32" s="209">
        <v>0.01203209</v>
      </c>
      <c r="C32" s="73"/>
      <c r="D32" s="200">
        <v>0.01203209</v>
      </c>
      <c r="E32" s="190"/>
      <c r="F32" s="200">
        <v>0.01203209</v>
      </c>
      <c r="G32" s="189"/>
      <c r="H32" s="200">
        <v>0.01203209</v>
      </c>
      <c r="I32" s="189"/>
      <c r="J32" s="200">
        <v>0.01203209</v>
      </c>
      <c r="K32" s="201"/>
      <c r="L32" s="200">
        <v>0.01203209</v>
      </c>
    </row>
    <row r="33" spans="1:12" ht="15">
      <c r="A33" s="173">
        <v>44183</v>
      </c>
      <c r="B33" s="209">
        <v>0.01363377</v>
      </c>
      <c r="C33" s="73"/>
      <c r="D33" s="200">
        <v>0.01363377</v>
      </c>
      <c r="E33" s="190"/>
      <c r="F33" s="200">
        <v>0.01363377</v>
      </c>
      <c r="G33" s="189"/>
      <c r="H33" s="200">
        <v>0.01363377</v>
      </c>
      <c r="I33" s="189"/>
      <c r="J33" s="200">
        <v>0.01363377</v>
      </c>
      <c r="K33" s="201"/>
      <c r="L33" s="200">
        <v>0.01363377</v>
      </c>
    </row>
    <row r="34" spans="1:12" ht="15">
      <c r="A34" s="173">
        <v>44214</v>
      </c>
      <c r="B34" s="209">
        <v>0.01327921</v>
      </c>
      <c r="C34" s="73"/>
      <c r="D34" s="200">
        <v>0.01327921</v>
      </c>
      <c r="E34" s="190"/>
      <c r="F34" s="200">
        <v>0.01327921</v>
      </c>
      <c r="G34" s="202"/>
      <c r="H34" s="200">
        <v>0.01327921</v>
      </c>
      <c r="I34" s="202"/>
      <c r="J34" s="200">
        <v>0.01327921</v>
      </c>
      <c r="K34" s="201"/>
      <c r="L34" s="200">
        <v>0.01327921</v>
      </c>
    </row>
    <row r="35" spans="1:12" ht="15">
      <c r="A35" s="173">
        <v>44245</v>
      </c>
      <c r="B35" s="209">
        <v>0.0147447</v>
      </c>
      <c r="C35" s="73"/>
      <c r="D35" s="200">
        <v>0.0147447</v>
      </c>
      <c r="E35" s="190"/>
      <c r="F35" s="200">
        <v>0.0147447</v>
      </c>
      <c r="G35" s="202"/>
      <c r="H35" s="200">
        <v>0.0147447</v>
      </c>
      <c r="I35" s="202"/>
      <c r="J35" s="200">
        <v>0.0147447</v>
      </c>
      <c r="K35" s="201"/>
      <c r="L35" s="200">
        <v>0.0147447</v>
      </c>
    </row>
    <row r="36" spans="1:12" ht="15">
      <c r="A36" s="173">
        <v>44273</v>
      </c>
      <c r="B36" s="209">
        <v>0.00904088</v>
      </c>
      <c r="C36" s="73"/>
      <c r="D36" s="200">
        <v>0.00904088</v>
      </c>
      <c r="E36" s="190"/>
      <c r="F36" s="200">
        <v>0.00904088</v>
      </c>
      <c r="G36" s="202"/>
      <c r="H36" s="200">
        <v>0.00904088</v>
      </c>
      <c r="I36" s="202"/>
      <c r="J36" s="200">
        <v>0.00904088</v>
      </c>
      <c r="K36" s="201"/>
      <c r="L36" s="200">
        <v>0.00904088</v>
      </c>
    </row>
    <row r="37" spans="1:12" ht="15">
      <c r="A37" s="173">
        <v>44304</v>
      </c>
      <c r="B37" s="209">
        <v>0.01231656</v>
      </c>
      <c r="C37" s="73"/>
      <c r="D37" s="200">
        <v>0.01231656</v>
      </c>
      <c r="E37" s="190"/>
      <c r="F37" s="200">
        <v>0.01231656</v>
      </c>
      <c r="G37" s="202"/>
      <c r="H37" s="200">
        <v>0.01231656</v>
      </c>
      <c r="I37" s="202"/>
      <c r="J37" s="200">
        <v>0.01231656</v>
      </c>
      <c r="K37" s="201"/>
      <c r="L37" s="200">
        <v>0.01231656</v>
      </c>
    </row>
    <row r="38" spans="1:12" ht="15">
      <c r="A38" s="173">
        <v>44334</v>
      </c>
      <c r="B38" s="209">
        <v>0.01226712</v>
      </c>
      <c r="C38" s="73"/>
      <c r="D38" s="200">
        <v>0.01226712</v>
      </c>
      <c r="E38" s="190"/>
      <c r="F38" s="200">
        <v>0.01226712</v>
      </c>
      <c r="G38" s="202"/>
      <c r="H38" s="200">
        <v>0.01226712</v>
      </c>
      <c r="I38" s="202"/>
      <c r="J38" s="200">
        <v>0.01226712</v>
      </c>
      <c r="K38" s="201"/>
      <c r="L38" s="200">
        <v>0.01226712</v>
      </c>
    </row>
    <row r="39" spans="1:12" ht="15">
      <c r="A39" s="173">
        <v>44365</v>
      </c>
      <c r="B39" s="209">
        <v>0.01500761</v>
      </c>
      <c r="C39" s="73"/>
      <c r="D39" s="200">
        <v>0.01500761</v>
      </c>
      <c r="E39" s="190"/>
      <c r="F39" s="200">
        <v>0.01500761</v>
      </c>
      <c r="G39" s="202"/>
      <c r="H39" s="200">
        <v>0.01500761</v>
      </c>
      <c r="I39" s="202"/>
      <c r="J39" s="200">
        <v>0.01500761</v>
      </c>
      <c r="K39" s="201"/>
      <c r="L39" s="200">
        <v>0.01500761</v>
      </c>
    </row>
    <row r="40" spans="1:12" ht="15">
      <c r="A40" s="173">
        <v>44395</v>
      </c>
      <c r="B40" s="209">
        <v>0.01240746</v>
      </c>
      <c r="C40" s="73"/>
      <c r="D40" s="200">
        <v>0.01240746</v>
      </c>
      <c r="E40" s="190"/>
      <c r="F40" s="200">
        <v>0.01240746</v>
      </c>
      <c r="G40" s="202"/>
      <c r="H40" s="200">
        <v>0.01240746</v>
      </c>
      <c r="I40" s="202"/>
      <c r="J40" s="200">
        <v>0.01240746</v>
      </c>
      <c r="K40" s="201"/>
      <c r="L40" s="200">
        <v>0.01240746</v>
      </c>
    </row>
    <row r="41" spans="1:12" ht="15">
      <c r="A41" s="173">
        <v>44426</v>
      </c>
      <c r="B41" s="209">
        <v>0.01363176</v>
      </c>
      <c r="C41" s="73"/>
      <c r="D41" s="200">
        <v>0.01363176</v>
      </c>
      <c r="E41" s="190"/>
      <c r="F41" s="200">
        <v>0.01363176</v>
      </c>
      <c r="G41" s="202"/>
      <c r="H41" s="200">
        <v>0.01363176</v>
      </c>
      <c r="I41" s="202"/>
      <c r="J41" s="200">
        <v>0.01363176</v>
      </c>
      <c r="K41" s="201"/>
      <c r="L41" s="200">
        <v>0.01363176</v>
      </c>
    </row>
    <row r="42" spans="1:12" ht="15">
      <c r="A42" s="173">
        <v>44457</v>
      </c>
      <c r="B42" s="209">
        <v>0.01121826</v>
      </c>
      <c r="C42" s="73"/>
      <c r="D42" s="200">
        <v>0.01121826</v>
      </c>
      <c r="E42" s="190"/>
      <c r="F42" s="200">
        <v>0.01121826</v>
      </c>
      <c r="G42" s="189"/>
      <c r="H42" s="200">
        <v>0.01121826</v>
      </c>
      <c r="I42" s="189"/>
      <c r="J42" s="200">
        <v>0.01121826</v>
      </c>
      <c r="K42" s="201"/>
      <c r="L42" s="200">
        <v>0.01121826</v>
      </c>
    </row>
    <row r="43" spans="1:12" ht="15">
      <c r="A43" s="173">
        <v>44487</v>
      </c>
      <c r="B43" s="209">
        <v>0.01073547</v>
      </c>
      <c r="C43" s="73"/>
      <c r="D43" s="200">
        <v>0.01073547</v>
      </c>
      <c r="E43" s="190"/>
      <c r="F43" s="200">
        <v>0.01073547</v>
      </c>
      <c r="G43" s="197"/>
      <c r="H43" s="200">
        <v>0.01073547</v>
      </c>
      <c r="I43" s="197"/>
      <c r="J43" s="200">
        <v>0.01073547</v>
      </c>
      <c r="K43" s="201"/>
      <c r="L43" s="200">
        <v>0.01073547</v>
      </c>
    </row>
    <row r="44" spans="1:12" ht="15">
      <c r="A44" s="173">
        <v>44518</v>
      </c>
      <c r="B44" s="209">
        <v>0.00891518</v>
      </c>
      <c r="C44" s="73"/>
      <c r="D44" s="200">
        <v>0.00891518</v>
      </c>
      <c r="E44" s="190"/>
      <c r="F44" s="200">
        <v>0.00891518</v>
      </c>
      <c r="G44" s="189"/>
      <c r="H44" s="200">
        <v>0.00891518</v>
      </c>
      <c r="I44" s="189"/>
      <c r="J44" s="200">
        <v>0.00891518</v>
      </c>
      <c r="K44" s="201"/>
      <c r="L44" s="200">
        <v>0.00891518</v>
      </c>
    </row>
    <row r="45" spans="1:12" ht="15">
      <c r="A45" s="173">
        <v>44548</v>
      </c>
      <c r="B45" s="209">
        <v>0.00908007</v>
      </c>
      <c r="C45" s="73"/>
      <c r="D45" s="200">
        <v>0.00908007</v>
      </c>
      <c r="E45" s="190"/>
      <c r="F45" s="200">
        <v>0.00908007</v>
      </c>
      <c r="G45" s="189"/>
      <c r="H45" s="200">
        <v>0.00908007</v>
      </c>
      <c r="I45" s="189"/>
      <c r="J45" s="200">
        <v>0.00908007</v>
      </c>
      <c r="K45" s="201"/>
      <c r="L45" s="200">
        <v>0.00908007</v>
      </c>
    </row>
    <row r="46" spans="1:12" ht="15">
      <c r="A46" s="173">
        <v>44579</v>
      </c>
      <c r="B46" s="209">
        <v>0.01059624</v>
      </c>
      <c r="C46" s="73"/>
      <c r="D46" s="200">
        <v>0.01059624</v>
      </c>
      <c r="E46" s="190"/>
      <c r="F46" s="200">
        <v>0.01059624</v>
      </c>
      <c r="G46" s="197"/>
      <c r="H46" s="200">
        <v>0.01059624</v>
      </c>
      <c r="I46" s="197"/>
      <c r="J46" s="200">
        <v>0.01059624</v>
      </c>
      <c r="K46" s="201"/>
      <c r="L46" s="200">
        <v>0.01059624</v>
      </c>
    </row>
    <row r="47" spans="1:12" ht="15">
      <c r="A47" s="173">
        <v>44610</v>
      </c>
      <c r="B47" s="209">
        <v>0.01331305</v>
      </c>
      <c r="C47" s="73"/>
      <c r="D47" s="200">
        <v>0.01331305</v>
      </c>
      <c r="E47" s="190"/>
      <c r="F47" s="200">
        <v>0.01331305</v>
      </c>
      <c r="G47" s="189"/>
      <c r="H47" s="200">
        <v>0.01331305</v>
      </c>
      <c r="I47" s="189"/>
      <c r="J47" s="200">
        <v>0.01331305</v>
      </c>
      <c r="K47" s="201"/>
      <c r="L47" s="200">
        <v>0.01331305</v>
      </c>
    </row>
    <row r="48" spans="1:12" ht="15">
      <c r="A48" s="173">
        <v>44638</v>
      </c>
      <c r="B48" s="209">
        <v>0.01330445</v>
      </c>
      <c r="C48" s="73"/>
      <c r="D48" s="200">
        <v>0.01330445</v>
      </c>
      <c r="E48" s="190"/>
      <c r="F48" s="200">
        <v>0.01330445</v>
      </c>
      <c r="G48" s="197"/>
      <c r="H48" s="200">
        <v>0.01330445</v>
      </c>
      <c r="I48" s="197"/>
      <c r="J48" s="200">
        <v>0.01330445</v>
      </c>
      <c r="K48" s="201"/>
      <c r="L48" s="200">
        <v>0.01330445</v>
      </c>
    </row>
    <row r="49" spans="1:12" ht="15">
      <c r="A49" s="173">
        <v>44669</v>
      </c>
      <c r="B49" s="209">
        <v>0.01347875</v>
      </c>
      <c r="C49" s="73"/>
      <c r="D49" s="200">
        <v>0.01347875</v>
      </c>
      <c r="E49" s="190"/>
      <c r="F49" s="200">
        <v>0.01347875</v>
      </c>
      <c r="G49" s="189"/>
      <c r="H49" s="200">
        <v>0.01347875</v>
      </c>
      <c r="I49" s="189"/>
      <c r="J49" s="200">
        <v>0.01347875</v>
      </c>
      <c r="K49" s="201"/>
      <c r="L49" s="200">
        <v>0.01347875</v>
      </c>
    </row>
    <row r="50" spans="1:12" ht="15">
      <c r="A50" s="173">
        <v>44699</v>
      </c>
      <c r="B50" s="209">
        <v>0.01128556</v>
      </c>
      <c r="C50" s="73"/>
      <c r="D50" s="200">
        <v>0.01128556</v>
      </c>
      <c r="E50" s="189"/>
      <c r="F50" s="200">
        <v>0.01128556</v>
      </c>
      <c r="G50" s="189"/>
      <c r="H50" s="200">
        <v>0.01128556</v>
      </c>
      <c r="I50" s="189"/>
      <c r="J50" s="200">
        <v>0.01128556</v>
      </c>
      <c r="K50" s="201"/>
      <c r="L50" s="200">
        <v>0.01128556</v>
      </c>
    </row>
    <row r="51" spans="1:12" ht="15">
      <c r="A51" s="173">
        <v>44730</v>
      </c>
      <c r="B51" s="209">
        <v>0.0164689</v>
      </c>
      <c r="C51" s="73"/>
      <c r="D51" s="200">
        <v>0.0164689</v>
      </c>
      <c r="E51" s="189"/>
      <c r="F51" s="200">
        <v>0.0164689</v>
      </c>
      <c r="G51" s="189"/>
      <c r="H51" s="200">
        <v>0.0164689</v>
      </c>
      <c r="I51" s="189"/>
      <c r="J51" s="200">
        <v>0.0164689</v>
      </c>
      <c r="K51" s="201"/>
      <c r="L51" s="200">
        <v>0.0164689</v>
      </c>
    </row>
    <row r="52" spans="1:12" ht="15">
      <c r="A52" s="173">
        <v>44760</v>
      </c>
      <c r="B52" s="209">
        <v>0.00895107</v>
      </c>
      <c r="C52" s="73"/>
      <c r="D52" s="200">
        <v>0.00895107</v>
      </c>
      <c r="E52" s="189"/>
      <c r="F52" s="200">
        <v>0.00895107</v>
      </c>
      <c r="G52" s="189"/>
      <c r="H52" s="200">
        <v>0.00895107</v>
      </c>
      <c r="I52" s="189"/>
      <c r="J52" s="200">
        <v>0.00895107</v>
      </c>
      <c r="K52" s="201"/>
      <c r="L52" s="200">
        <v>0.00895107</v>
      </c>
    </row>
    <row r="53" spans="1:12" ht="15">
      <c r="A53" s="173">
        <v>44791</v>
      </c>
      <c r="B53" s="209">
        <v>0.01058841</v>
      </c>
      <c r="C53" s="73"/>
      <c r="D53" s="200">
        <v>0.01058841</v>
      </c>
      <c r="E53" s="189"/>
      <c r="F53" s="200">
        <v>0.01058841</v>
      </c>
      <c r="G53" s="189"/>
      <c r="H53" s="200">
        <v>0.01058841</v>
      </c>
      <c r="I53" s="189"/>
      <c r="J53" s="200">
        <v>0.01058841</v>
      </c>
      <c r="K53" s="201"/>
      <c r="L53" s="200">
        <v>0.01058841</v>
      </c>
    </row>
    <row r="54" spans="1:12" ht="15">
      <c r="A54" s="173">
        <v>44822</v>
      </c>
      <c r="B54" s="209">
        <v>0.01394401</v>
      </c>
      <c r="C54" s="73"/>
      <c r="D54" s="200">
        <v>0.01394401</v>
      </c>
      <c r="E54" s="189"/>
      <c r="F54" s="200">
        <v>0.01394401</v>
      </c>
      <c r="G54" s="189"/>
      <c r="H54" s="200">
        <v>0.01394401</v>
      </c>
      <c r="I54" s="189"/>
      <c r="J54" s="200">
        <v>0.01394401</v>
      </c>
      <c r="K54" s="201"/>
      <c r="L54" s="200">
        <v>0.01394401</v>
      </c>
    </row>
    <row r="55" spans="1:12" ht="15">
      <c r="A55" s="173">
        <v>44852</v>
      </c>
      <c r="B55" s="209">
        <v>0.01237428</v>
      </c>
      <c r="C55" s="73"/>
      <c r="D55" s="200">
        <v>0.01237428</v>
      </c>
      <c r="E55" s="189"/>
      <c r="F55" s="200">
        <v>0.01237428</v>
      </c>
      <c r="G55" s="189"/>
      <c r="H55" s="200">
        <v>0.01237428</v>
      </c>
      <c r="I55" s="189"/>
      <c r="J55" s="200">
        <v>0.01237428</v>
      </c>
      <c r="K55" s="201"/>
      <c r="L55" s="200">
        <v>0.01237428</v>
      </c>
    </row>
    <row r="56" spans="1:12" ht="15">
      <c r="A56" s="173">
        <v>44883</v>
      </c>
      <c r="B56" s="209">
        <v>0.0110615</v>
      </c>
      <c r="C56" s="73"/>
      <c r="D56" s="200">
        <v>0.0110615</v>
      </c>
      <c r="E56" s="189"/>
      <c r="F56" s="200">
        <v>0.0110615</v>
      </c>
      <c r="G56" s="189"/>
      <c r="H56" s="200">
        <v>0.0110615</v>
      </c>
      <c r="I56" s="189"/>
      <c r="J56" s="200">
        <v>0.0110615</v>
      </c>
      <c r="K56" s="201"/>
      <c r="L56" s="200">
        <v>0.0110615</v>
      </c>
    </row>
    <row r="57" spans="1:12" ht="15">
      <c r="A57" s="173">
        <v>44913</v>
      </c>
      <c r="B57" s="209">
        <v>0.01047459</v>
      </c>
      <c r="C57" s="73"/>
      <c r="D57" s="200">
        <v>0.01047459</v>
      </c>
      <c r="E57" s="189"/>
      <c r="F57" s="200">
        <v>0.01047459</v>
      </c>
      <c r="G57" s="189"/>
      <c r="H57" s="200">
        <v>0.01047459</v>
      </c>
      <c r="I57" s="189"/>
      <c r="J57" s="200">
        <v>0.01047459</v>
      </c>
      <c r="K57" s="201"/>
      <c r="L57" s="200">
        <v>0.01047459</v>
      </c>
    </row>
    <row r="58" spans="1:12" ht="15">
      <c r="A58" s="169">
        <v>44944</v>
      </c>
      <c r="B58" s="209">
        <v>0.01206691</v>
      </c>
      <c r="C58" s="73"/>
      <c r="D58" s="200">
        <v>0.01206691</v>
      </c>
      <c r="E58" s="189"/>
      <c r="F58" s="200">
        <v>0.01206691</v>
      </c>
      <c r="G58" s="189"/>
      <c r="H58" s="200">
        <v>0.01206691</v>
      </c>
      <c r="I58" s="189"/>
      <c r="J58" s="200">
        <v>0.01206691</v>
      </c>
      <c r="K58" s="201"/>
      <c r="L58" s="200">
        <v>0.01206691</v>
      </c>
    </row>
    <row r="59" spans="1:12" ht="15">
      <c r="A59" s="173">
        <v>44975</v>
      </c>
      <c r="B59" s="209">
        <v>0.00814017</v>
      </c>
      <c r="C59" s="73"/>
      <c r="D59" s="200">
        <v>0.00814017</v>
      </c>
      <c r="E59" s="189"/>
      <c r="F59" s="200">
        <v>0.00814017</v>
      </c>
      <c r="G59" s="189"/>
      <c r="H59" s="200">
        <v>0.00814017</v>
      </c>
      <c r="I59" s="189"/>
      <c r="J59" s="200">
        <v>0.00814017</v>
      </c>
      <c r="K59" s="201"/>
      <c r="L59" s="200">
        <v>0.00814017</v>
      </c>
    </row>
    <row r="60" spans="1:12" ht="15">
      <c r="A60" s="173">
        <v>45003</v>
      </c>
      <c r="B60" s="209">
        <v>0.00875394</v>
      </c>
      <c r="C60" s="73"/>
      <c r="D60" s="200">
        <v>0.00875394</v>
      </c>
      <c r="E60" s="189"/>
      <c r="F60" s="200">
        <v>0.00875394</v>
      </c>
      <c r="G60" s="189"/>
      <c r="H60" s="200">
        <v>0.00875394</v>
      </c>
      <c r="I60" s="189"/>
      <c r="J60" s="200">
        <v>0.00875394</v>
      </c>
      <c r="K60" s="201"/>
      <c r="L60" s="200">
        <v>0.00875394</v>
      </c>
    </row>
    <row r="61" spans="1:12" ht="15">
      <c r="A61" s="173">
        <v>45034</v>
      </c>
      <c r="B61" s="209">
        <v>0.01058185</v>
      </c>
      <c r="C61" s="73"/>
      <c r="D61" s="200">
        <v>0.01058185</v>
      </c>
      <c r="E61" s="189"/>
      <c r="F61" s="200">
        <v>0.01058185</v>
      </c>
      <c r="G61" s="189"/>
      <c r="H61" s="200">
        <v>0.01058185</v>
      </c>
      <c r="I61" s="189"/>
      <c r="J61" s="200">
        <v>0.01058185</v>
      </c>
      <c r="K61" s="201"/>
      <c r="L61" s="200">
        <v>0.01058185</v>
      </c>
    </row>
    <row r="62" spans="1:12" ht="15">
      <c r="A62" s="173">
        <v>45064</v>
      </c>
      <c r="B62" s="209">
        <v>0.0107756</v>
      </c>
      <c r="C62" s="73"/>
      <c r="D62" s="200">
        <v>0.0107756</v>
      </c>
      <c r="E62" s="189"/>
      <c r="F62" s="200">
        <v>0.0107756</v>
      </c>
      <c r="G62" s="189"/>
      <c r="H62" s="200">
        <v>0.0107756</v>
      </c>
      <c r="I62" s="189"/>
      <c r="J62" s="200">
        <v>0.0107756</v>
      </c>
      <c r="K62" s="201"/>
      <c r="L62" s="200">
        <v>0.0107756</v>
      </c>
    </row>
    <row r="63" spans="1:12" ht="15">
      <c r="A63" s="173">
        <v>45095</v>
      </c>
      <c r="B63" s="209">
        <v>0.01096763</v>
      </c>
      <c r="C63" s="73"/>
      <c r="D63" s="200">
        <v>0.01096763</v>
      </c>
      <c r="E63" s="189"/>
      <c r="F63" s="200">
        <v>0.01096763</v>
      </c>
      <c r="G63" s="189"/>
      <c r="H63" s="200">
        <v>0.01096763</v>
      </c>
      <c r="I63" s="189"/>
      <c r="J63" s="200">
        <v>0.01096763</v>
      </c>
      <c r="K63" s="201"/>
      <c r="L63" s="200">
        <v>0.01096763</v>
      </c>
    </row>
    <row r="64" spans="1:12" ht="15">
      <c r="A64" s="173">
        <v>45125</v>
      </c>
      <c r="B64" s="209">
        <v>0.00899119</v>
      </c>
      <c r="C64" s="73"/>
      <c r="D64" s="200">
        <v>0.00899119</v>
      </c>
      <c r="E64" s="189"/>
      <c r="F64" s="200">
        <v>0.00899119</v>
      </c>
      <c r="G64" s="189"/>
      <c r="H64" s="200">
        <v>0.00899119</v>
      </c>
      <c r="I64" s="189"/>
      <c r="J64" s="200">
        <v>0.00899119</v>
      </c>
      <c r="K64" s="201"/>
      <c r="L64" s="200">
        <v>0.00899119</v>
      </c>
    </row>
    <row r="65" spans="1:12" ht="15">
      <c r="A65" s="173">
        <v>45156</v>
      </c>
      <c r="B65" s="209">
        <v>0.0108828</v>
      </c>
      <c r="C65" s="73"/>
      <c r="D65" s="200">
        <v>0.0108828</v>
      </c>
      <c r="E65" s="189"/>
      <c r="F65" s="200">
        <v>0.0108828</v>
      </c>
      <c r="G65" s="189"/>
      <c r="H65" s="200">
        <v>0.0108828</v>
      </c>
      <c r="I65" s="189"/>
      <c r="J65" s="200">
        <v>0.0108828</v>
      </c>
      <c r="K65" s="201"/>
      <c r="L65" s="200">
        <v>0.0108828</v>
      </c>
    </row>
    <row r="66" spans="1:12" s="183" customFormat="1" ht="15">
      <c r="A66" s="173">
        <v>45187</v>
      </c>
      <c r="B66" s="209">
        <v>0.0096454</v>
      </c>
      <c r="C66" s="73"/>
      <c r="D66" s="200">
        <v>0.0096454</v>
      </c>
      <c r="E66" s="189"/>
      <c r="F66" s="200">
        <v>0.0096454</v>
      </c>
      <c r="G66" s="189"/>
      <c r="H66" s="200">
        <v>0.0096454</v>
      </c>
      <c r="I66" s="189"/>
      <c r="J66" s="200">
        <v>0.0096454</v>
      </c>
      <c r="K66" s="201"/>
      <c r="L66" s="200">
        <v>0.0096454</v>
      </c>
    </row>
    <row r="67" spans="1:12" ht="15">
      <c r="A67" s="173">
        <v>45217</v>
      </c>
      <c r="B67" s="212">
        <v>0.01013966</v>
      </c>
      <c r="C67" s="73"/>
      <c r="D67" s="199">
        <v>0.01013966</v>
      </c>
      <c r="E67" s="213"/>
      <c r="F67" s="199">
        <v>0.01013966</v>
      </c>
      <c r="G67" s="213"/>
      <c r="H67" s="199">
        <v>0.01013966</v>
      </c>
      <c r="I67" s="213"/>
      <c r="J67" s="199">
        <v>0.01013966</v>
      </c>
      <c r="K67" s="214"/>
      <c r="L67" s="199">
        <v>0.01013966</v>
      </c>
    </row>
    <row r="68" spans="1:12" s="183" customFormat="1" ht="15">
      <c r="A68" s="195">
        <v>45248</v>
      </c>
      <c r="B68" s="211">
        <v>0.01000146</v>
      </c>
      <c r="C68" s="196"/>
      <c r="D68" s="207">
        <v>0.01000146</v>
      </c>
      <c r="E68" s="198"/>
      <c r="F68" s="207">
        <v>0.01000146</v>
      </c>
      <c r="G68" s="198"/>
      <c r="H68" s="207">
        <v>0.01000146</v>
      </c>
      <c r="I68" s="198"/>
      <c r="J68" s="207">
        <v>0.01000146</v>
      </c>
      <c r="K68" s="208"/>
      <c r="L68" s="207">
        <v>0.01000146</v>
      </c>
    </row>
    <row r="69" spans="1:12" ht="15">
      <c r="A69" s="173">
        <v>45278</v>
      </c>
      <c r="B69" s="209">
        <v>0</v>
      </c>
      <c r="C69" s="73"/>
      <c r="D69" s="203">
        <v>0.00901251</v>
      </c>
      <c r="E69" s="190"/>
      <c r="F69" s="203">
        <v>0.01093979</v>
      </c>
      <c r="G69" s="190"/>
      <c r="H69" s="203">
        <v>0.01294689</v>
      </c>
      <c r="I69" s="190"/>
      <c r="J69" s="203">
        <v>0.01612343</v>
      </c>
      <c r="K69" s="204"/>
      <c r="L69" s="203">
        <v>0.00983024</v>
      </c>
    </row>
    <row r="70" spans="1:12" ht="15">
      <c r="A70" s="169">
        <v>45309</v>
      </c>
      <c r="B70" s="209">
        <v>0</v>
      </c>
      <c r="C70" s="73"/>
      <c r="D70" s="203">
        <v>0.00892324</v>
      </c>
      <c r="E70" s="190"/>
      <c r="F70" s="203">
        <v>0.01078066</v>
      </c>
      <c r="G70" s="190"/>
      <c r="H70" s="203">
        <v>0.01270036</v>
      </c>
      <c r="I70" s="190"/>
      <c r="J70" s="203">
        <v>0.0157068</v>
      </c>
      <c r="K70" s="204"/>
      <c r="L70" s="203">
        <v>0.00971301</v>
      </c>
    </row>
    <row r="71" spans="1:12" ht="15">
      <c r="A71" s="169">
        <v>45340</v>
      </c>
      <c r="B71" s="209">
        <v>0</v>
      </c>
      <c r="C71" s="73"/>
      <c r="D71" s="203">
        <v>0.00879625</v>
      </c>
      <c r="E71" s="190"/>
      <c r="F71" s="203">
        <v>0.01058416</v>
      </c>
      <c r="G71" s="190"/>
      <c r="H71" s="203">
        <v>0.01241775</v>
      </c>
      <c r="I71" s="190"/>
      <c r="J71" s="203">
        <v>0.01526091</v>
      </c>
      <c r="K71" s="204"/>
      <c r="L71" s="203">
        <v>0.00955811</v>
      </c>
    </row>
    <row r="72" spans="1:12" ht="15">
      <c r="A72" s="173">
        <v>45369</v>
      </c>
      <c r="B72" s="209">
        <v>0</v>
      </c>
      <c r="C72" s="73"/>
      <c r="D72" s="203">
        <v>0.00876491</v>
      </c>
      <c r="E72" s="190"/>
      <c r="F72" s="203">
        <v>0.01048501</v>
      </c>
      <c r="G72" s="190"/>
      <c r="H72" s="203">
        <v>0.01223508</v>
      </c>
      <c r="I72" s="190"/>
      <c r="J72" s="203">
        <v>0.0149199</v>
      </c>
      <c r="K72" s="204"/>
      <c r="L72" s="203">
        <v>0.00949951</v>
      </c>
    </row>
    <row r="73" spans="1:12" ht="15">
      <c r="A73" s="169">
        <v>45400</v>
      </c>
      <c r="B73" s="209">
        <v>0</v>
      </c>
      <c r="C73" s="73"/>
      <c r="D73" s="203">
        <v>0.00863534</v>
      </c>
      <c r="E73" s="191"/>
      <c r="F73" s="203">
        <v>0.01028892</v>
      </c>
      <c r="G73" s="191"/>
      <c r="H73" s="203">
        <v>0.01195763</v>
      </c>
      <c r="I73" s="191"/>
      <c r="J73" s="203">
        <v>0.01448958</v>
      </c>
      <c r="K73" s="204"/>
      <c r="L73" s="203">
        <v>0.00934313</v>
      </c>
    </row>
    <row r="74" spans="1:12" ht="15">
      <c r="A74" s="169">
        <v>45430</v>
      </c>
      <c r="B74" s="209">
        <v>0</v>
      </c>
      <c r="C74" s="73"/>
      <c r="D74" s="203">
        <v>0.00785917</v>
      </c>
      <c r="E74" s="191"/>
      <c r="F74" s="203">
        <v>0.00944682</v>
      </c>
      <c r="G74" s="191"/>
      <c r="H74" s="203">
        <v>0.01103559</v>
      </c>
      <c r="I74" s="191"/>
      <c r="J74" s="203">
        <v>0.01341892</v>
      </c>
      <c r="K74" s="204"/>
      <c r="L74" s="203">
        <v>0.00854031</v>
      </c>
    </row>
    <row r="75" spans="1:12" ht="15">
      <c r="A75" s="173">
        <v>45461</v>
      </c>
      <c r="B75" s="209">
        <v>0</v>
      </c>
      <c r="C75" s="73"/>
      <c r="D75" s="203">
        <v>0.00851858</v>
      </c>
      <c r="E75" s="190"/>
      <c r="F75" s="203">
        <v>0.01004176</v>
      </c>
      <c r="G75" s="190"/>
      <c r="H75" s="203">
        <v>0.01155291</v>
      </c>
      <c r="I75" s="190"/>
      <c r="J75" s="203">
        <v>0.01379313</v>
      </c>
      <c r="K75" s="204"/>
      <c r="L75" s="203">
        <v>0.00917362</v>
      </c>
    </row>
    <row r="76" spans="1:12" ht="15">
      <c r="A76" s="169">
        <v>45491</v>
      </c>
      <c r="B76" s="209">
        <v>0</v>
      </c>
      <c r="C76" s="73"/>
      <c r="D76" s="203">
        <v>0.00846059</v>
      </c>
      <c r="E76" s="190"/>
      <c r="F76" s="203">
        <v>0.00991999</v>
      </c>
      <c r="G76" s="190"/>
      <c r="H76" s="203">
        <v>0.01135498</v>
      </c>
      <c r="I76" s="190"/>
      <c r="J76" s="203">
        <v>0.01345628</v>
      </c>
      <c r="K76" s="204"/>
      <c r="L76" s="203">
        <v>0.00908973</v>
      </c>
    </row>
    <row r="77" spans="1:12" ht="15">
      <c r="A77" s="169">
        <v>45522</v>
      </c>
      <c r="B77" s="209">
        <v>0</v>
      </c>
      <c r="C77" s="73"/>
      <c r="D77" s="203">
        <v>0.00841213</v>
      </c>
      <c r="E77" s="190"/>
      <c r="F77" s="203">
        <v>0.00981039</v>
      </c>
      <c r="G77" s="190"/>
      <c r="H77" s="203">
        <v>0.01117266</v>
      </c>
      <c r="I77" s="190"/>
      <c r="J77" s="203">
        <v>0.01314215</v>
      </c>
      <c r="K77" s="204"/>
      <c r="L77" s="203">
        <v>0.00901642</v>
      </c>
    </row>
    <row r="78" spans="1:12" ht="15">
      <c r="A78" s="173">
        <v>45553</v>
      </c>
      <c r="B78" s="209">
        <v>0</v>
      </c>
      <c r="C78" s="73"/>
      <c r="D78" s="203">
        <v>0.00826436</v>
      </c>
      <c r="E78" s="190"/>
      <c r="F78" s="203">
        <v>0.00960302</v>
      </c>
      <c r="G78" s="191"/>
      <c r="H78" s="203">
        <v>0.01089487</v>
      </c>
      <c r="I78" s="190"/>
      <c r="J78" s="203">
        <v>0.01273778</v>
      </c>
      <c r="K78" s="204"/>
      <c r="L78" s="203">
        <v>0.00884438</v>
      </c>
    </row>
    <row r="79" spans="1:12" ht="15">
      <c r="A79" s="169">
        <v>45583</v>
      </c>
      <c r="B79" s="209">
        <v>0</v>
      </c>
      <c r="C79" s="73"/>
      <c r="D79" s="203">
        <v>0.00819754</v>
      </c>
      <c r="E79" s="190"/>
      <c r="F79" s="203">
        <v>0.00947828</v>
      </c>
      <c r="G79" s="190"/>
      <c r="H79" s="203">
        <v>0.01070214</v>
      </c>
      <c r="I79" s="190"/>
      <c r="J79" s="203">
        <v>0.01242384</v>
      </c>
      <c r="K79" s="204"/>
      <c r="L79" s="203">
        <v>0.00875393</v>
      </c>
    </row>
    <row r="80" spans="1:12" ht="15">
      <c r="A80" s="169">
        <v>45614</v>
      </c>
      <c r="B80" s="209">
        <v>0</v>
      </c>
      <c r="C80" s="73"/>
      <c r="D80" s="203">
        <v>0.00808712</v>
      </c>
      <c r="E80" s="190"/>
      <c r="F80" s="203">
        <v>0.00930871</v>
      </c>
      <c r="G80" s="190"/>
      <c r="H80" s="203">
        <v>0.01046401</v>
      </c>
      <c r="I80" s="190"/>
      <c r="J80" s="203">
        <v>0.01206528</v>
      </c>
      <c r="K80" s="204"/>
      <c r="L80" s="203">
        <v>0.00861928</v>
      </c>
    </row>
    <row r="81" spans="1:12" ht="15">
      <c r="A81" s="173">
        <v>45644</v>
      </c>
      <c r="B81" s="209">
        <v>0</v>
      </c>
      <c r="C81" s="73"/>
      <c r="D81" s="203">
        <v>0.00805261</v>
      </c>
      <c r="E81" s="190"/>
      <c r="F81" s="203">
        <v>0.00921556</v>
      </c>
      <c r="G81" s="190"/>
      <c r="H81" s="203">
        <v>0.0103035</v>
      </c>
      <c r="I81" s="190"/>
      <c r="J81" s="203">
        <v>0.01178779</v>
      </c>
      <c r="K81" s="204"/>
      <c r="L81" s="203">
        <v>0.00856068</v>
      </c>
    </row>
    <row r="82" spans="1:12" ht="15">
      <c r="A82" s="169">
        <v>45675</v>
      </c>
      <c r="B82" s="209">
        <v>0</v>
      </c>
      <c r="C82" s="73"/>
      <c r="D82" s="203">
        <v>0.00805867</v>
      </c>
      <c r="E82" s="190"/>
      <c r="F82" s="203">
        <v>0.00916336</v>
      </c>
      <c r="G82" s="190"/>
      <c r="H82" s="203">
        <v>0.01018503</v>
      </c>
      <c r="I82" s="190"/>
      <c r="J82" s="203">
        <v>0.01155549</v>
      </c>
      <c r="K82" s="204"/>
      <c r="L82" s="203">
        <v>0.00854273</v>
      </c>
    </row>
    <row r="83" spans="1:12" ht="15">
      <c r="A83" s="169">
        <v>45706</v>
      </c>
      <c r="B83" s="209">
        <v>0</v>
      </c>
      <c r="C83" s="73"/>
      <c r="D83" s="203">
        <v>0.00794859</v>
      </c>
      <c r="E83" s="190"/>
      <c r="F83" s="203">
        <v>0.0089972</v>
      </c>
      <c r="G83" s="190"/>
      <c r="H83" s="203">
        <v>0.00995543</v>
      </c>
      <c r="I83" s="190"/>
      <c r="J83" s="203">
        <v>0.01121782</v>
      </c>
      <c r="K83" s="204"/>
      <c r="L83" s="203">
        <v>0.00840952</v>
      </c>
    </row>
    <row r="84" spans="1:12" ht="15">
      <c r="A84" s="173">
        <v>45734</v>
      </c>
      <c r="B84" s="209">
        <v>0</v>
      </c>
      <c r="C84" s="73"/>
      <c r="D84" s="203">
        <v>0.00787772</v>
      </c>
      <c r="E84" s="190"/>
      <c r="F84" s="203">
        <v>0.00887178</v>
      </c>
      <c r="G84" s="190"/>
      <c r="H84" s="203">
        <v>0.00976872</v>
      </c>
      <c r="I84" s="190"/>
      <c r="J84" s="203">
        <v>0.01092766</v>
      </c>
      <c r="K84" s="204"/>
      <c r="L84" s="203">
        <v>0.00831609</v>
      </c>
    </row>
    <row r="85" spans="1:12" ht="15">
      <c r="A85" s="169">
        <v>45765</v>
      </c>
      <c r="B85" s="209">
        <v>0</v>
      </c>
      <c r="C85" s="73"/>
      <c r="D85" s="203">
        <v>0.00783511</v>
      </c>
      <c r="E85" s="190"/>
      <c r="F85" s="203">
        <v>0.00877499</v>
      </c>
      <c r="G85" s="190"/>
      <c r="H85" s="203">
        <v>0.00961164</v>
      </c>
      <c r="I85" s="190"/>
      <c r="J85" s="203">
        <v>0.01067</v>
      </c>
      <c r="K85" s="204"/>
      <c r="L85" s="203">
        <v>0.00825101</v>
      </c>
    </row>
    <row r="86" spans="1:12" ht="15">
      <c r="A86" s="169">
        <v>45795</v>
      </c>
      <c r="B86" s="209">
        <v>0</v>
      </c>
      <c r="C86" s="73"/>
      <c r="D86" s="203">
        <v>0.00695804</v>
      </c>
      <c r="E86" s="190"/>
      <c r="F86" s="203">
        <v>0.0078449</v>
      </c>
      <c r="G86" s="190"/>
      <c r="H86" s="203">
        <v>0.00862302</v>
      </c>
      <c r="I86" s="190"/>
      <c r="J86" s="203">
        <v>0.00958472</v>
      </c>
      <c r="K86" s="204"/>
      <c r="L86" s="203">
        <v>0.00735191</v>
      </c>
    </row>
    <row r="87" spans="1:12" ht="15">
      <c r="A87" s="173">
        <v>45826</v>
      </c>
      <c r="B87" s="209">
        <v>0</v>
      </c>
      <c r="C87" s="73"/>
      <c r="D87" s="203">
        <v>0.00768061</v>
      </c>
      <c r="E87" s="190"/>
      <c r="F87" s="203">
        <v>0.00851383</v>
      </c>
      <c r="G87" s="190"/>
      <c r="H87" s="203">
        <v>0.0092334</v>
      </c>
      <c r="I87" s="190"/>
      <c r="J87" s="203">
        <v>0.01009975</v>
      </c>
      <c r="K87" s="204"/>
      <c r="L87" s="203">
        <v>0.0080521</v>
      </c>
    </row>
    <row r="88" spans="1:12" ht="15">
      <c r="A88" s="169">
        <v>45856</v>
      </c>
      <c r="B88" s="209">
        <v>0</v>
      </c>
      <c r="C88" s="73"/>
      <c r="D88" s="203">
        <v>0.00764439</v>
      </c>
      <c r="E88" s="190"/>
      <c r="F88" s="203">
        <v>0.00842428</v>
      </c>
      <c r="G88" s="190"/>
      <c r="H88" s="203">
        <v>0.00908623</v>
      </c>
      <c r="I88" s="190"/>
      <c r="J88" s="203">
        <v>0.00985987</v>
      </c>
      <c r="K88" s="204"/>
      <c r="L88" s="203">
        <v>0.00799357</v>
      </c>
    </row>
    <row r="89" spans="1:12" ht="15">
      <c r="A89" s="169">
        <v>45887</v>
      </c>
      <c r="B89" s="209">
        <v>0</v>
      </c>
      <c r="C89" s="73"/>
      <c r="D89" s="203">
        <v>0.00756157</v>
      </c>
      <c r="E89" s="190"/>
      <c r="F89" s="203">
        <v>0.00829077</v>
      </c>
      <c r="G89" s="190"/>
      <c r="H89" s="203">
        <v>0.00889824</v>
      </c>
      <c r="I89" s="190"/>
      <c r="J89" s="203">
        <v>0.00958494</v>
      </c>
      <c r="K89" s="204"/>
      <c r="L89" s="203">
        <v>0.00788952</v>
      </c>
    </row>
    <row r="90" spans="1:12" ht="15">
      <c r="A90" s="173">
        <v>45918</v>
      </c>
      <c r="B90" s="209">
        <v>0</v>
      </c>
      <c r="C90" s="73"/>
      <c r="D90" s="203">
        <v>0.00748957</v>
      </c>
      <c r="E90" s="191"/>
      <c r="F90" s="203">
        <v>0.00816961</v>
      </c>
      <c r="G90" s="191"/>
      <c r="H90" s="203">
        <v>0.00872465</v>
      </c>
      <c r="I90" s="191"/>
      <c r="J90" s="203">
        <v>0.00932853</v>
      </c>
      <c r="K90" s="204"/>
      <c r="L90" s="203">
        <v>0.00779688</v>
      </c>
    </row>
    <row r="91" spans="1:12" ht="15">
      <c r="A91" s="169">
        <v>45948</v>
      </c>
      <c r="B91" s="209">
        <v>0</v>
      </c>
      <c r="C91" s="73"/>
      <c r="D91" s="203">
        <v>0.00743673</v>
      </c>
      <c r="E91" s="191"/>
      <c r="F91" s="203">
        <v>0.00806759</v>
      </c>
      <c r="G91" s="191"/>
      <c r="H91" s="203">
        <v>0.00857071</v>
      </c>
      <c r="I91" s="191"/>
      <c r="J91" s="203">
        <v>0.00049035</v>
      </c>
      <c r="K91" s="204"/>
      <c r="L91" s="203">
        <v>0.00772333</v>
      </c>
    </row>
    <row r="92" spans="1:12" ht="15">
      <c r="A92" s="169">
        <v>45979</v>
      </c>
      <c r="B92" s="209">
        <v>0</v>
      </c>
      <c r="C92" s="73"/>
      <c r="D92" s="203">
        <v>0.00737108</v>
      </c>
      <c r="E92" s="190"/>
      <c r="F92" s="203">
        <v>0.00795199</v>
      </c>
      <c r="G92" s="190"/>
      <c r="H92" s="203">
        <v>0.008403</v>
      </c>
      <c r="I92" s="190"/>
      <c r="J92" s="203">
        <v>0</v>
      </c>
      <c r="K92" s="204"/>
      <c r="L92" s="203">
        <v>0.00763656</v>
      </c>
    </row>
    <row r="93" spans="1:12" ht="15">
      <c r="A93" s="173">
        <v>46009</v>
      </c>
      <c r="B93" s="209">
        <v>0</v>
      </c>
      <c r="C93" s="73"/>
      <c r="D93" s="203">
        <v>0.00732189</v>
      </c>
      <c r="E93" s="190"/>
      <c r="F93" s="203">
        <v>0.00785586</v>
      </c>
      <c r="G93" s="190"/>
      <c r="H93" s="203">
        <v>0.00825817</v>
      </c>
      <c r="I93" s="190"/>
      <c r="J93" s="203">
        <v>0</v>
      </c>
      <c r="K93" s="204"/>
      <c r="L93" s="203">
        <v>0.00756751</v>
      </c>
    </row>
    <row r="94" spans="1:12" ht="15">
      <c r="A94" s="169">
        <v>46040</v>
      </c>
      <c r="B94" s="209">
        <v>0</v>
      </c>
      <c r="C94" s="73"/>
      <c r="D94" s="203">
        <v>0.00722117</v>
      </c>
      <c r="E94" s="190"/>
      <c r="F94" s="203">
        <v>0.0077093</v>
      </c>
      <c r="G94" s="190"/>
      <c r="H94" s="203">
        <v>0.00806448</v>
      </c>
      <c r="I94" s="190"/>
      <c r="J94" s="203">
        <v>0</v>
      </c>
      <c r="K94" s="204"/>
      <c r="L94" s="203">
        <v>0.00744734</v>
      </c>
    </row>
    <row r="95" spans="1:12" ht="15">
      <c r="A95" s="169">
        <v>46071</v>
      </c>
      <c r="B95" s="209">
        <v>0</v>
      </c>
      <c r="C95" s="73"/>
      <c r="D95" s="203">
        <v>0.00718618</v>
      </c>
      <c r="E95" s="190"/>
      <c r="F95" s="203">
        <v>0.00762675</v>
      </c>
      <c r="G95" s="190"/>
      <c r="H95" s="203">
        <v>0.00552383</v>
      </c>
      <c r="I95" s="190"/>
      <c r="J95" s="203">
        <v>0</v>
      </c>
      <c r="K95" s="204"/>
      <c r="L95" s="203">
        <v>0.00739209</v>
      </c>
    </row>
    <row r="96" spans="1:12" ht="15">
      <c r="A96" s="173">
        <v>46099</v>
      </c>
      <c r="B96" s="209">
        <v>0</v>
      </c>
      <c r="C96" s="73"/>
      <c r="D96" s="203">
        <v>0.00709191</v>
      </c>
      <c r="E96" s="190"/>
      <c r="F96" s="203">
        <v>0.00748981</v>
      </c>
      <c r="G96" s="190"/>
      <c r="H96" s="203">
        <v>0</v>
      </c>
      <c r="I96" s="190"/>
      <c r="J96" s="203">
        <v>0</v>
      </c>
      <c r="K96" s="204"/>
      <c r="L96" s="203">
        <v>0.00727963</v>
      </c>
    </row>
    <row r="97" spans="1:12" ht="15">
      <c r="A97" s="169">
        <v>46130</v>
      </c>
      <c r="B97" s="209">
        <v>0</v>
      </c>
      <c r="C97" s="73"/>
      <c r="D97" s="203">
        <v>0.00702582</v>
      </c>
      <c r="E97" s="191"/>
      <c r="F97" s="203">
        <v>0.00737895</v>
      </c>
      <c r="G97" s="191"/>
      <c r="H97" s="203">
        <v>0</v>
      </c>
      <c r="I97" s="191"/>
      <c r="J97" s="203">
        <v>0</v>
      </c>
      <c r="K97" s="204"/>
      <c r="L97" s="203">
        <v>0.00719438</v>
      </c>
    </row>
    <row r="98" spans="1:12" ht="15">
      <c r="A98" s="169">
        <v>46160</v>
      </c>
      <c r="B98" s="209">
        <v>0</v>
      </c>
      <c r="C98" s="73"/>
      <c r="D98" s="203">
        <v>0.00615406</v>
      </c>
      <c r="E98" s="191"/>
      <c r="F98" s="203">
        <v>0.00646217</v>
      </c>
      <c r="G98" s="190"/>
      <c r="H98" s="203">
        <v>0</v>
      </c>
      <c r="I98" s="190"/>
      <c r="J98" s="203">
        <v>0</v>
      </c>
      <c r="K98" s="204"/>
      <c r="L98" s="203">
        <v>0.00630329</v>
      </c>
    </row>
    <row r="99" spans="1:12" ht="15">
      <c r="A99" s="173">
        <v>46191</v>
      </c>
      <c r="B99" s="209">
        <v>0</v>
      </c>
      <c r="C99" s="73"/>
      <c r="D99" s="203">
        <v>0.00690667</v>
      </c>
      <c r="E99" s="190"/>
      <c r="F99" s="203">
        <v>0.00514871</v>
      </c>
      <c r="G99" s="190"/>
      <c r="H99" s="203">
        <v>0</v>
      </c>
      <c r="I99" s="190"/>
      <c r="J99" s="203">
        <v>0</v>
      </c>
      <c r="K99" s="204"/>
      <c r="L99" s="203">
        <v>0.00703811</v>
      </c>
    </row>
    <row r="100" spans="1:12" ht="15">
      <c r="A100" s="169">
        <v>46221</v>
      </c>
      <c r="B100" s="209">
        <v>0</v>
      </c>
      <c r="C100" s="73"/>
      <c r="D100" s="203">
        <v>0.00683339</v>
      </c>
      <c r="E100" s="190"/>
      <c r="F100" s="203">
        <v>0</v>
      </c>
      <c r="G100" s="190"/>
      <c r="H100" s="203">
        <v>0</v>
      </c>
      <c r="I100" s="191"/>
      <c r="J100" s="203">
        <v>0</v>
      </c>
      <c r="K100" s="204"/>
      <c r="L100" s="203">
        <v>0.00694677</v>
      </c>
    </row>
    <row r="101" spans="1:12" ht="15">
      <c r="A101" s="169">
        <v>46252</v>
      </c>
      <c r="B101" s="209">
        <v>0</v>
      </c>
      <c r="C101" s="73"/>
      <c r="D101" s="203">
        <v>0.00671605</v>
      </c>
      <c r="E101" s="190"/>
      <c r="F101" s="203">
        <v>0</v>
      </c>
      <c r="G101" s="190"/>
      <c r="H101" s="203">
        <v>0</v>
      </c>
      <c r="I101" s="190"/>
      <c r="J101" s="203">
        <v>0</v>
      </c>
      <c r="K101" s="204"/>
      <c r="L101" s="203">
        <v>0.00681452</v>
      </c>
    </row>
    <row r="102" spans="1:12" ht="15">
      <c r="A102" s="173">
        <v>46283</v>
      </c>
      <c r="B102" s="209">
        <v>0</v>
      </c>
      <c r="C102" s="73"/>
      <c r="D102" s="203">
        <v>0.00668572</v>
      </c>
      <c r="E102" s="190"/>
      <c r="F102" s="203">
        <v>0</v>
      </c>
      <c r="G102" s="190"/>
      <c r="H102" s="203">
        <v>0</v>
      </c>
      <c r="I102" s="190"/>
      <c r="J102" s="203">
        <v>0</v>
      </c>
      <c r="K102" s="204"/>
      <c r="L102" s="203">
        <v>0.00215571</v>
      </c>
    </row>
    <row r="103" spans="1:12" ht="15">
      <c r="A103" s="169">
        <v>46313</v>
      </c>
      <c r="B103" s="209">
        <v>0</v>
      </c>
      <c r="C103" s="73"/>
      <c r="D103" s="203">
        <v>0.00659799</v>
      </c>
      <c r="E103" s="190"/>
      <c r="F103" s="203">
        <v>0</v>
      </c>
      <c r="G103" s="190"/>
      <c r="H103" s="203">
        <v>0</v>
      </c>
      <c r="I103" s="190"/>
      <c r="J103" s="203">
        <v>0</v>
      </c>
      <c r="K103" s="204"/>
      <c r="L103" s="203">
        <v>0</v>
      </c>
    </row>
    <row r="104" spans="1:12" ht="15">
      <c r="A104" s="169">
        <v>46344</v>
      </c>
      <c r="B104" s="209">
        <v>0</v>
      </c>
      <c r="C104" s="73"/>
      <c r="D104" s="203">
        <v>0.00305764</v>
      </c>
      <c r="E104" s="190"/>
      <c r="F104" s="203">
        <v>0</v>
      </c>
      <c r="G104" s="190"/>
      <c r="H104" s="203">
        <v>0</v>
      </c>
      <c r="I104" s="190"/>
      <c r="J104" s="203">
        <v>0</v>
      </c>
      <c r="K104" s="204"/>
      <c r="L104" s="203">
        <v>0</v>
      </c>
    </row>
    <row r="105" spans="1:12" ht="15">
      <c r="A105" s="173">
        <v>46374</v>
      </c>
      <c r="B105" s="209">
        <v>0</v>
      </c>
      <c r="C105" s="73"/>
      <c r="D105" s="203">
        <v>0</v>
      </c>
      <c r="E105" s="191"/>
      <c r="F105" s="203">
        <v>0</v>
      </c>
      <c r="G105" s="191"/>
      <c r="H105" s="203">
        <v>0</v>
      </c>
      <c r="I105" s="191"/>
      <c r="J105" s="203">
        <v>0</v>
      </c>
      <c r="K105" s="204"/>
      <c r="L105" s="203">
        <v>0</v>
      </c>
    </row>
    <row r="106" spans="1:12" ht="15">
      <c r="A106" s="169">
        <v>46405</v>
      </c>
      <c r="B106" s="209">
        <v>0</v>
      </c>
      <c r="C106" s="73"/>
      <c r="D106" s="203">
        <v>0</v>
      </c>
      <c r="E106" s="190"/>
      <c r="F106" s="203">
        <v>0</v>
      </c>
      <c r="G106" s="190"/>
      <c r="H106" s="203">
        <v>0</v>
      </c>
      <c r="I106" s="190"/>
      <c r="J106" s="203">
        <v>0</v>
      </c>
      <c r="K106" s="204"/>
      <c r="L106" s="203">
        <v>0</v>
      </c>
    </row>
    <row r="107" spans="1:12" ht="15">
      <c r="A107" s="169">
        <v>46436</v>
      </c>
      <c r="B107" s="209">
        <v>0</v>
      </c>
      <c r="C107" s="73"/>
      <c r="D107" s="203">
        <v>0</v>
      </c>
      <c r="E107" s="190"/>
      <c r="F107" s="203">
        <v>0</v>
      </c>
      <c r="G107" s="191"/>
      <c r="H107" s="203">
        <v>0</v>
      </c>
      <c r="I107" s="191"/>
      <c r="J107" s="203">
        <v>0</v>
      </c>
      <c r="K107" s="204"/>
      <c r="L107" s="203">
        <v>0</v>
      </c>
    </row>
    <row r="108" spans="1:12" ht="15">
      <c r="A108" s="173">
        <v>46464</v>
      </c>
      <c r="B108" s="209">
        <v>0.00490424</v>
      </c>
      <c r="C108" s="73"/>
      <c r="D108" s="203">
        <v>0</v>
      </c>
      <c r="E108" s="190"/>
      <c r="F108" s="203">
        <v>0</v>
      </c>
      <c r="G108" s="190"/>
      <c r="H108" s="203">
        <v>0</v>
      </c>
      <c r="I108" s="192"/>
      <c r="J108" s="203">
        <v>0</v>
      </c>
      <c r="K108" s="204"/>
      <c r="L108" s="203">
        <v>0</v>
      </c>
    </row>
    <row r="109" spans="1:12" ht="15">
      <c r="A109" s="169">
        <v>46495</v>
      </c>
      <c r="B109" s="209">
        <v>0.00818136</v>
      </c>
      <c r="C109" s="73"/>
      <c r="D109" s="203">
        <v>0</v>
      </c>
      <c r="E109" s="190"/>
      <c r="F109" s="203">
        <v>0</v>
      </c>
      <c r="G109" s="190"/>
      <c r="H109" s="203">
        <v>0</v>
      </c>
      <c r="I109" s="192"/>
      <c r="J109" s="203">
        <v>0</v>
      </c>
      <c r="K109" s="204"/>
      <c r="L109" s="203">
        <v>0</v>
      </c>
    </row>
    <row r="110" spans="1:12" ht="15">
      <c r="A110" s="169">
        <v>46525</v>
      </c>
      <c r="B110" s="209">
        <v>0.00822466</v>
      </c>
      <c r="C110" s="73"/>
      <c r="D110" s="203">
        <v>0</v>
      </c>
      <c r="E110" s="190"/>
      <c r="F110" s="203">
        <v>0</v>
      </c>
      <c r="G110" s="190"/>
      <c r="H110" s="203">
        <v>0</v>
      </c>
      <c r="I110" s="190"/>
      <c r="J110" s="203">
        <v>0</v>
      </c>
      <c r="K110" s="204"/>
      <c r="L110" s="203">
        <v>0</v>
      </c>
    </row>
    <row r="111" spans="1:12" ht="15">
      <c r="A111" s="173">
        <v>46556</v>
      </c>
      <c r="B111" s="209">
        <v>0.00826597</v>
      </c>
      <c r="C111" s="73"/>
      <c r="D111" s="203">
        <v>0</v>
      </c>
      <c r="E111" s="190"/>
      <c r="F111" s="203">
        <v>0</v>
      </c>
      <c r="G111" s="190"/>
      <c r="H111" s="203">
        <v>0</v>
      </c>
      <c r="I111" s="190"/>
      <c r="J111" s="203">
        <v>0</v>
      </c>
      <c r="K111" s="204"/>
      <c r="L111" s="203">
        <v>0</v>
      </c>
    </row>
    <row r="112" spans="1:12" ht="15">
      <c r="A112" s="169">
        <v>46586</v>
      </c>
      <c r="B112" s="209">
        <v>0.00829525</v>
      </c>
      <c r="C112" s="73"/>
      <c r="D112" s="203">
        <v>0</v>
      </c>
      <c r="E112" s="191"/>
      <c r="F112" s="203">
        <v>0</v>
      </c>
      <c r="G112" s="190"/>
      <c r="H112" s="203">
        <v>0</v>
      </c>
      <c r="I112" s="190"/>
      <c r="J112" s="203">
        <v>0</v>
      </c>
      <c r="K112" s="204"/>
      <c r="L112" s="203">
        <v>0</v>
      </c>
    </row>
    <row r="113" spans="1:12" ht="15">
      <c r="A113" s="169">
        <v>46617</v>
      </c>
      <c r="B113" s="209">
        <v>0.00833646</v>
      </c>
      <c r="C113" s="73"/>
      <c r="D113" s="203">
        <v>0</v>
      </c>
      <c r="E113" s="190"/>
      <c r="F113" s="203">
        <v>0</v>
      </c>
      <c r="G113" s="193"/>
      <c r="H113" s="203">
        <v>0</v>
      </c>
      <c r="I113" s="190"/>
      <c r="J113" s="203">
        <v>0</v>
      </c>
      <c r="K113" s="204"/>
      <c r="L113" s="203">
        <v>0</v>
      </c>
    </row>
    <row r="114" spans="1:12" ht="15">
      <c r="A114" s="173">
        <v>46648</v>
      </c>
      <c r="B114" s="209">
        <v>0.0083353</v>
      </c>
      <c r="C114" s="73"/>
      <c r="D114" s="203">
        <v>0</v>
      </c>
      <c r="E114" s="190"/>
      <c r="F114" s="203">
        <v>0</v>
      </c>
      <c r="G114" s="193"/>
      <c r="H114" s="203">
        <v>0</v>
      </c>
      <c r="I114" s="190"/>
      <c r="J114" s="203">
        <v>0</v>
      </c>
      <c r="K114" s="204"/>
      <c r="L114" s="203">
        <v>0</v>
      </c>
    </row>
    <row r="115" spans="1:12" ht="15">
      <c r="A115" s="169">
        <v>46678</v>
      </c>
      <c r="B115" s="209">
        <v>0.00838366</v>
      </c>
      <c r="C115" s="73"/>
      <c r="D115" s="203">
        <v>0</v>
      </c>
      <c r="E115" s="190"/>
      <c r="F115" s="203">
        <v>0</v>
      </c>
      <c r="G115" s="190"/>
      <c r="H115" s="203">
        <v>0</v>
      </c>
      <c r="I115" s="190"/>
      <c r="J115" s="203">
        <v>0</v>
      </c>
      <c r="K115" s="204"/>
      <c r="L115" s="203">
        <v>0</v>
      </c>
    </row>
    <row r="116" spans="1:12" ht="15">
      <c r="A116" s="169">
        <v>46709</v>
      </c>
      <c r="B116" s="209">
        <v>0.00840638</v>
      </c>
      <c r="C116" s="73"/>
      <c r="D116" s="203">
        <v>0</v>
      </c>
      <c r="E116" s="190"/>
      <c r="F116" s="203">
        <v>0</v>
      </c>
      <c r="G116" s="190"/>
      <c r="H116" s="203">
        <v>0</v>
      </c>
      <c r="I116" s="190"/>
      <c r="J116" s="203">
        <v>0</v>
      </c>
      <c r="K116" s="204"/>
      <c r="L116" s="203">
        <v>0</v>
      </c>
    </row>
    <row r="117" spans="1:12" ht="15">
      <c r="A117" s="173">
        <v>46739</v>
      </c>
      <c r="B117" s="209">
        <v>0.00846462</v>
      </c>
      <c r="C117" s="73"/>
      <c r="D117" s="203">
        <v>0</v>
      </c>
      <c r="E117" s="193"/>
      <c r="F117" s="203">
        <v>0</v>
      </c>
      <c r="G117" s="190"/>
      <c r="H117" s="203">
        <v>0</v>
      </c>
      <c r="I117" s="190"/>
      <c r="J117" s="203">
        <v>0</v>
      </c>
      <c r="K117" s="204"/>
      <c r="L117" s="203">
        <v>0</v>
      </c>
    </row>
    <row r="118" spans="1:12" ht="15">
      <c r="A118" s="169">
        <v>46770</v>
      </c>
      <c r="B118" s="209">
        <v>0.00850982</v>
      </c>
      <c r="C118" s="73"/>
      <c r="D118" s="203">
        <v>0</v>
      </c>
      <c r="E118" s="193"/>
      <c r="F118" s="203">
        <v>0</v>
      </c>
      <c r="G118" s="190"/>
      <c r="H118" s="203">
        <v>0</v>
      </c>
      <c r="I118" s="192"/>
      <c r="J118" s="203">
        <v>0</v>
      </c>
      <c r="K118" s="204"/>
      <c r="L118" s="203">
        <v>0</v>
      </c>
    </row>
    <row r="119" spans="1:12" ht="15">
      <c r="A119" s="169">
        <v>46801</v>
      </c>
      <c r="B119" s="209">
        <v>0.00857171</v>
      </c>
      <c r="C119" s="73"/>
      <c r="D119" s="203">
        <v>0</v>
      </c>
      <c r="E119" s="190"/>
      <c r="F119" s="203">
        <v>0</v>
      </c>
      <c r="G119" s="190"/>
      <c r="H119" s="203">
        <v>0</v>
      </c>
      <c r="I119" s="193"/>
      <c r="J119" s="203">
        <v>0</v>
      </c>
      <c r="K119" s="204"/>
      <c r="L119" s="203">
        <v>0</v>
      </c>
    </row>
    <row r="120" spans="1:12" ht="15">
      <c r="A120" s="173">
        <v>46830</v>
      </c>
      <c r="B120" s="209">
        <v>0.00861798</v>
      </c>
      <c r="C120" s="73"/>
      <c r="D120" s="203">
        <v>0</v>
      </c>
      <c r="E120" s="193"/>
      <c r="F120" s="203">
        <v>0</v>
      </c>
      <c r="G120" s="193"/>
      <c r="H120" s="203">
        <v>0</v>
      </c>
      <c r="I120" s="190"/>
      <c r="J120" s="203">
        <v>0</v>
      </c>
      <c r="K120" s="204"/>
      <c r="L120" s="203">
        <v>0</v>
      </c>
    </row>
    <row r="121" spans="1:12" ht="15">
      <c r="A121" s="169">
        <v>46861</v>
      </c>
      <c r="B121" s="209">
        <v>0.00866851</v>
      </c>
      <c r="C121" s="73"/>
      <c r="D121" s="203">
        <v>0</v>
      </c>
      <c r="E121" s="190"/>
      <c r="F121" s="203">
        <v>0</v>
      </c>
      <c r="G121" s="190"/>
      <c r="H121" s="203">
        <v>0</v>
      </c>
      <c r="I121" s="190"/>
      <c r="J121" s="203">
        <v>0</v>
      </c>
      <c r="K121" s="204"/>
      <c r="L121" s="203">
        <v>0</v>
      </c>
    </row>
    <row r="122" spans="1:12" ht="15">
      <c r="A122" s="169">
        <v>46891</v>
      </c>
      <c r="B122" s="209">
        <v>0.158479</v>
      </c>
      <c r="C122" s="73"/>
      <c r="D122" s="203">
        <v>0</v>
      </c>
      <c r="E122" s="190"/>
      <c r="F122" s="203">
        <v>0</v>
      </c>
      <c r="G122" s="190"/>
      <c r="H122" s="203">
        <v>0</v>
      </c>
      <c r="I122" s="190"/>
      <c r="J122" s="203">
        <v>0</v>
      </c>
      <c r="K122" s="204"/>
      <c r="L122" s="203">
        <v>0</v>
      </c>
    </row>
    <row r="123" spans="1:12" ht="15">
      <c r="A123" s="173">
        <v>46922</v>
      </c>
      <c r="B123" s="209">
        <v>0</v>
      </c>
      <c r="C123" s="73"/>
      <c r="D123" s="203">
        <v>0</v>
      </c>
      <c r="E123" s="190"/>
      <c r="F123" s="203">
        <v>0</v>
      </c>
      <c r="G123" s="190"/>
      <c r="H123" s="203">
        <v>0</v>
      </c>
      <c r="I123" s="190"/>
      <c r="J123" s="203">
        <v>0</v>
      </c>
      <c r="K123" s="204"/>
      <c r="L123" s="203">
        <v>0</v>
      </c>
    </row>
    <row r="124" spans="1:12" ht="15">
      <c r="A124" s="169">
        <v>46952</v>
      </c>
      <c r="B124" s="209">
        <v>0</v>
      </c>
      <c r="C124" s="73"/>
      <c r="D124" s="203">
        <v>0</v>
      </c>
      <c r="E124" s="190"/>
      <c r="F124" s="203">
        <v>0</v>
      </c>
      <c r="G124" s="190"/>
      <c r="H124" s="203">
        <v>0</v>
      </c>
      <c r="I124" s="190"/>
      <c r="J124" s="203">
        <v>0</v>
      </c>
      <c r="K124" s="204"/>
      <c r="L124" s="203">
        <v>0</v>
      </c>
    </row>
    <row r="125" spans="1:12" ht="15">
      <c r="A125" s="169">
        <v>46983</v>
      </c>
      <c r="B125" s="209">
        <v>0</v>
      </c>
      <c r="C125" s="73"/>
      <c r="D125" s="203">
        <v>0</v>
      </c>
      <c r="E125" s="190"/>
      <c r="F125" s="203">
        <v>0</v>
      </c>
      <c r="G125" s="190"/>
      <c r="H125" s="203">
        <v>0</v>
      </c>
      <c r="I125" s="190"/>
      <c r="J125" s="203">
        <v>0</v>
      </c>
      <c r="K125" s="204"/>
      <c r="L125" s="203">
        <v>0</v>
      </c>
    </row>
    <row r="126" spans="1:12" ht="15">
      <c r="A126" s="173">
        <v>47014</v>
      </c>
      <c r="B126" s="209">
        <v>0</v>
      </c>
      <c r="C126" s="73"/>
      <c r="D126" s="203">
        <v>0</v>
      </c>
      <c r="E126" s="190"/>
      <c r="F126" s="203">
        <v>0</v>
      </c>
      <c r="G126" s="190"/>
      <c r="H126" s="203">
        <v>0</v>
      </c>
      <c r="I126" s="191"/>
      <c r="J126" s="203">
        <v>0</v>
      </c>
      <c r="K126" s="204"/>
      <c r="L126" s="203">
        <v>0</v>
      </c>
    </row>
    <row r="127" spans="1:12" ht="15">
      <c r="A127" s="169">
        <v>47044</v>
      </c>
      <c r="B127" s="209">
        <v>0</v>
      </c>
      <c r="C127" s="73"/>
      <c r="D127" s="203">
        <v>0</v>
      </c>
      <c r="E127" s="190"/>
      <c r="F127" s="203">
        <v>0</v>
      </c>
      <c r="G127" s="190"/>
      <c r="H127" s="203">
        <v>0</v>
      </c>
      <c r="I127" s="190"/>
      <c r="J127" s="203">
        <v>0</v>
      </c>
      <c r="K127" s="204"/>
      <c r="L127" s="203">
        <v>0</v>
      </c>
    </row>
    <row r="128" spans="1:12" ht="15">
      <c r="A128" s="169">
        <v>47075</v>
      </c>
      <c r="B128" s="209">
        <v>0</v>
      </c>
      <c r="C128" s="73"/>
      <c r="D128" s="203">
        <v>0</v>
      </c>
      <c r="E128" s="190"/>
      <c r="F128" s="203">
        <v>0</v>
      </c>
      <c r="G128" s="190"/>
      <c r="H128" s="203">
        <v>0</v>
      </c>
      <c r="I128" s="190"/>
      <c r="J128" s="203">
        <v>0</v>
      </c>
      <c r="K128" s="204"/>
      <c r="L128" s="203">
        <v>0</v>
      </c>
    </row>
    <row r="129" spans="1:12" ht="15">
      <c r="A129" s="173">
        <v>47105</v>
      </c>
      <c r="B129" s="209">
        <v>0</v>
      </c>
      <c r="C129" s="73"/>
      <c r="D129" s="203">
        <v>0</v>
      </c>
      <c r="E129" s="190"/>
      <c r="F129" s="203">
        <v>0</v>
      </c>
      <c r="G129" s="190"/>
      <c r="H129" s="203">
        <v>0</v>
      </c>
      <c r="I129" s="190"/>
      <c r="J129" s="203">
        <v>0</v>
      </c>
      <c r="K129" s="204"/>
      <c r="L129" s="203">
        <v>0</v>
      </c>
    </row>
    <row r="130" spans="1:12" ht="15">
      <c r="A130" s="169">
        <v>47136</v>
      </c>
      <c r="B130" s="209">
        <v>0</v>
      </c>
      <c r="C130" s="73"/>
      <c r="D130" s="203">
        <v>0</v>
      </c>
      <c r="E130" s="190"/>
      <c r="F130" s="203">
        <v>0</v>
      </c>
      <c r="G130" s="190"/>
      <c r="H130" s="203">
        <v>0</v>
      </c>
      <c r="I130" s="190"/>
      <c r="J130" s="203">
        <v>0</v>
      </c>
      <c r="K130" s="204"/>
      <c r="L130" s="203">
        <v>0</v>
      </c>
    </row>
    <row r="131" spans="1:12" ht="15">
      <c r="A131" s="169">
        <v>47167</v>
      </c>
      <c r="B131" s="209">
        <v>0</v>
      </c>
      <c r="C131" s="73"/>
      <c r="D131" s="203">
        <v>0</v>
      </c>
      <c r="E131" s="190"/>
      <c r="F131" s="203">
        <v>0</v>
      </c>
      <c r="G131" s="190"/>
      <c r="H131" s="203">
        <v>0</v>
      </c>
      <c r="I131" s="190"/>
      <c r="J131" s="203">
        <v>0</v>
      </c>
      <c r="K131" s="204"/>
      <c r="L131" s="203">
        <v>0</v>
      </c>
    </row>
    <row r="132" spans="1:12" ht="15">
      <c r="A132" s="173">
        <v>47195</v>
      </c>
      <c r="B132" s="209">
        <v>0</v>
      </c>
      <c r="C132" s="73"/>
      <c r="D132" s="203">
        <v>0</v>
      </c>
      <c r="E132" s="190"/>
      <c r="F132" s="203">
        <v>0</v>
      </c>
      <c r="G132" s="190"/>
      <c r="H132" s="203">
        <v>0</v>
      </c>
      <c r="I132" s="190"/>
      <c r="J132" s="203">
        <v>0</v>
      </c>
      <c r="K132" s="204"/>
      <c r="L132" s="203">
        <v>0</v>
      </c>
    </row>
    <row r="133" spans="1:12" ht="15">
      <c r="A133" s="169">
        <v>47226</v>
      </c>
      <c r="B133" s="209">
        <v>0</v>
      </c>
      <c r="C133" s="73"/>
      <c r="D133" s="203">
        <v>0</v>
      </c>
      <c r="E133" s="190"/>
      <c r="F133" s="203">
        <v>0</v>
      </c>
      <c r="G133" s="190"/>
      <c r="H133" s="203">
        <v>0</v>
      </c>
      <c r="I133" s="190"/>
      <c r="J133" s="203">
        <v>0</v>
      </c>
      <c r="K133" s="204"/>
      <c r="L133" s="203">
        <v>0</v>
      </c>
    </row>
    <row r="134" spans="1:12" ht="15">
      <c r="A134" s="169">
        <v>47256</v>
      </c>
      <c r="B134" s="209">
        <v>0</v>
      </c>
      <c r="C134" s="73"/>
      <c r="D134" s="203">
        <v>0</v>
      </c>
      <c r="E134" s="190"/>
      <c r="F134" s="203">
        <v>0</v>
      </c>
      <c r="G134" s="190"/>
      <c r="H134" s="203">
        <v>0</v>
      </c>
      <c r="I134" s="190"/>
      <c r="J134" s="203">
        <v>0</v>
      </c>
      <c r="K134" s="204"/>
      <c r="L134" s="203">
        <v>0</v>
      </c>
    </row>
    <row r="135" spans="1:12" ht="15">
      <c r="A135" s="173">
        <v>47287</v>
      </c>
      <c r="B135" s="209">
        <v>0</v>
      </c>
      <c r="C135" s="73"/>
      <c r="D135" s="203">
        <v>0</v>
      </c>
      <c r="E135" s="190"/>
      <c r="F135" s="203">
        <v>0</v>
      </c>
      <c r="G135" s="190"/>
      <c r="H135" s="203">
        <v>0</v>
      </c>
      <c r="I135" s="190"/>
      <c r="J135" s="203">
        <v>0</v>
      </c>
      <c r="K135" s="204"/>
      <c r="L135" s="203">
        <v>0</v>
      </c>
    </row>
    <row r="136" spans="1:12" ht="15">
      <c r="A136" s="169">
        <v>47317</v>
      </c>
      <c r="B136" s="209">
        <v>0</v>
      </c>
      <c r="C136" s="73"/>
      <c r="D136" s="203">
        <v>0</v>
      </c>
      <c r="E136" s="190"/>
      <c r="F136" s="203">
        <v>0</v>
      </c>
      <c r="G136" s="190"/>
      <c r="H136" s="203">
        <v>0</v>
      </c>
      <c r="I136" s="190"/>
      <c r="J136" s="203">
        <v>0</v>
      </c>
      <c r="K136" s="204"/>
      <c r="L136" s="203">
        <v>0</v>
      </c>
    </row>
    <row r="137" spans="1:12" ht="15">
      <c r="A137" s="169">
        <v>47348</v>
      </c>
      <c r="B137" s="209">
        <v>0</v>
      </c>
      <c r="C137" s="73"/>
      <c r="D137" s="203">
        <v>0</v>
      </c>
      <c r="E137" s="190"/>
      <c r="F137" s="203">
        <v>0</v>
      </c>
      <c r="G137" s="191"/>
      <c r="H137" s="203">
        <v>0</v>
      </c>
      <c r="I137" s="190"/>
      <c r="J137" s="203">
        <v>0</v>
      </c>
      <c r="K137" s="204"/>
      <c r="L137" s="203">
        <v>0</v>
      </c>
    </row>
    <row r="138" spans="1:12" ht="15">
      <c r="A138" s="173">
        <v>47379</v>
      </c>
      <c r="B138" s="209">
        <v>0</v>
      </c>
      <c r="C138" s="73"/>
      <c r="D138" s="203">
        <v>0</v>
      </c>
      <c r="E138" s="190"/>
      <c r="F138" s="203">
        <v>0</v>
      </c>
      <c r="G138" s="190"/>
      <c r="H138" s="203">
        <v>0</v>
      </c>
      <c r="I138" s="190"/>
      <c r="J138" s="203">
        <v>0</v>
      </c>
      <c r="K138" s="204"/>
      <c r="L138" s="203">
        <v>0</v>
      </c>
    </row>
    <row r="139" spans="1:12" ht="15">
      <c r="A139" s="169">
        <v>47409</v>
      </c>
      <c r="B139" s="209">
        <v>0</v>
      </c>
      <c r="C139" s="73"/>
      <c r="D139" s="203">
        <v>0</v>
      </c>
      <c r="E139" s="190"/>
      <c r="F139" s="203">
        <v>0</v>
      </c>
      <c r="G139" s="190"/>
      <c r="H139" s="203">
        <v>0</v>
      </c>
      <c r="I139" s="190"/>
      <c r="J139" s="203">
        <v>0</v>
      </c>
      <c r="K139" s="204"/>
      <c r="L139" s="203">
        <v>0</v>
      </c>
    </row>
    <row r="140" spans="1:12" ht="15">
      <c r="A140" s="169">
        <v>47440</v>
      </c>
      <c r="B140" s="209">
        <v>0</v>
      </c>
      <c r="C140" s="73"/>
      <c r="D140" s="203">
        <v>0</v>
      </c>
      <c r="E140" s="190"/>
      <c r="F140" s="203">
        <v>0</v>
      </c>
      <c r="G140" s="190"/>
      <c r="H140" s="203">
        <v>0</v>
      </c>
      <c r="I140" s="190"/>
      <c r="J140" s="203">
        <v>0</v>
      </c>
      <c r="K140" s="204"/>
      <c r="L140" s="203">
        <v>0</v>
      </c>
    </row>
    <row r="141" spans="1:12" ht="15">
      <c r="A141" s="173">
        <v>47470</v>
      </c>
      <c r="B141" s="209">
        <v>0</v>
      </c>
      <c r="C141" s="73"/>
      <c r="D141" s="203">
        <v>0</v>
      </c>
      <c r="E141" s="190"/>
      <c r="F141" s="203">
        <v>0</v>
      </c>
      <c r="G141" s="190"/>
      <c r="H141" s="203">
        <v>0</v>
      </c>
      <c r="I141" s="190"/>
      <c r="J141" s="203">
        <v>0</v>
      </c>
      <c r="K141" s="204"/>
      <c r="L141" s="203">
        <v>0</v>
      </c>
    </row>
    <row r="142" spans="1:12" ht="15">
      <c r="A142" s="169">
        <v>47501</v>
      </c>
      <c r="B142" s="209">
        <v>0</v>
      </c>
      <c r="C142" s="73"/>
      <c r="D142" s="203">
        <v>0</v>
      </c>
      <c r="E142" s="190"/>
      <c r="F142" s="203">
        <v>0</v>
      </c>
      <c r="G142" s="190"/>
      <c r="H142" s="203">
        <v>0</v>
      </c>
      <c r="I142" s="190"/>
      <c r="J142" s="203">
        <v>0</v>
      </c>
      <c r="K142" s="204"/>
      <c r="L142" s="203">
        <v>0</v>
      </c>
    </row>
    <row r="143" spans="1:12" ht="15">
      <c r="A143" s="169">
        <v>47532</v>
      </c>
      <c r="B143" s="209">
        <v>0</v>
      </c>
      <c r="C143" s="73"/>
      <c r="D143" s="203">
        <v>0</v>
      </c>
      <c r="E143" s="190"/>
      <c r="F143" s="203">
        <v>0</v>
      </c>
      <c r="G143" s="190"/>
      <c r="H143" s="203">
        <v>0</v>
      </c>
      <c r="I143" s="190"/>
      <c r="J143" s="203">
        <v>0</v>
      </c>
      <c r="K143" s="204"/>
      <c r="L143" s="203">
        <v>0</v>
      </c>
    </row>
    <row r="144" spans="1:12" ht="15">
      <c r="A144" s="173">
        <v>47560</v>
      </c>
      <c r="B144" s="209">
        <v>0</v>
      </c>
      <c r="C144" s="73"/>
      <c r="D144" s="203">
        <v>0</v>
      </c>
      <c r="E144" s="190"/>
      <c r="F144" s="203">
        <v>0</v>
      </c>
      <c r="G144" s="190"/>
      <c r="H144" s="203">
        <v>0</v>
      </c>
      <c r="I144" s="190"/>
      <c r="J144" s="203">
        <v>0</v>
      </c>
      <c r="K144" s="204"/>
      <c r="L144" s="203">
        <v>0</v>
      </c>
    </row>
    <row r="145" spans="1:12" ht="15">
      <c r="A145" s="169">
        <v>47591</v>
      </c>
      <c r="B145" s="209">
        <v>0</v>
      </c>
      <c r="C145" s="73"/>
      <c r="D145" s="203">
        <v>0</v>
      </c>
      <c r="E145" s="191"/>
      <c r="F145" s="203">
        <v>0</v>
      </c>
      <c r="G145" s="191"/>
      <c r="H145" s="203">
        <v>0</v>
      </c>
      <c r="I145" s="191"/>
      <c r="J145" s="203">
        <v>0</v>
      </c>
      <c r="K145" s="204"/>
      <c r="L145" s="203">
        <v>0</v>
      </c>
    </row>
    <row r="146" spans="1:12" ht="15">
      <c r="A146" s="169">
        <v>47621</v>
      </c>
      <c r="B146" s="209">
        <v>0</v>
      </c>
      <c r="C146" s="73"/>
      <c r="D146" s="203">
        <v>0</v>
      </c>
      <c r="E146" s="190"/>
      <c r="F146" s="203">
        <v>0</v>
      </c>
      <c r="G146" s="190"/>
      <c r="H146" s="203">
        <v>0</v>
      </c>
      <c r="I146" s="190"/>
      <c r="J146" s="203">
        <v>0</v>
      </c>
      <c r="K146" s="204"/>
      <c r="L146" s="203">
        <v>0</v>
      </c>
    </row>
    <row r="147" spans="1:12" ht="15">
      <c r="A147" s="173">
        <v>47652</v>
      </c>
      <c r="B147" s="209">
        <v>0</v>
      </c>
      <c r="C147" s="73"/>
      <c r="D147" s="203">
        <v>0</v>
      </c>
      <c r="E147" s="191"/>
      <c r="F147" s="203">
        <v>0</v>
      </c>
      <c r="G147" s="190"/>
      <c r="H147" s="203">
        <v>0</v>
      </c>
      <c r="I147" s="190"/>
      <c r="J147" s="203">
        <v>0</v>
      </c>
      <c r="K147" s="204"/>
      <c r="L147" s="203">
        <v>0</v>
      </c>
    </row>
    <row r="148" spans="1:12" ht="15">
      <c r="A148" s="169">
        <v>47682</v>
      </c>
      <c r="B148" s="209">
        <v>0</v>
      </c>
      <c r="C148" s="73"/>
      <c r="D148" s="203">
        <v>0</v>
      </c>
      <c r="E148" s="190"/>
      <c r="F148" s="203">
        <v>0</v>
      </c>
      <c r="G148" s="190"/>
      <c r="H148" s="203">
        <v>0</v>
      </c>
      <c r="I148" s="190"/>
      <c r="J148" s="203">
        <v>0</v>
      </c>
      <c r="K148" s="204"/>
      <c r="L148" s="203">
        <v>0</v>
      </c>
    </row>
    <row r="149" spans="1:12" ht="15">
      <c r="A149" s="169">
        <v>47713</v>
      </c>
      <c r="B149" s="209">
        <v>0</v>
      </c>
      <c r="C149" s="73"/>
      <c r="D149" s="203">
        <v>0</v>
      </c>
      <c r="E149" s="190"/>
      <c r="F149" s="203">
        <v>0</v>
      </c>
      <c r="G149" s="190"/>
      <c r="H149" s="203">
        <v>0</v>
      </c>
      <c r="I149" s="190"/>
      <c r="J149" s="203">
        <v>0</v>
      </c>
      <c r="K149" s="204"/>
      <c r="L149" s="203">
        <v>0</v>
      </c>
    </row>
    <row r="150" spans="1:12" ht="15">
      <c r="A150" s="173">
        <v>47744</v>
      </c>
      <c r="B150" s="209">
        <v>0</v>
      </c>
      <c r="C150" s="73"/>
      <c r="D150" s="203">
        <v>0</v>
      </c>
      <c r="E150" s="190"/>
      <c r="F150" s="203">
        <v>0</v>
      </c>
      <c r="G150" s="190"/>
      <c r="H150" s="203">
        <v>0</v>
      </c>
      <c r="I150" s="190"/>
      <c r="J150" s="203">
        <v>0</v>
      </c>
      <c r="K150" s="204"/>
      <c r="L150" s="203">
        <v>0</v>
      </c>
    </row>
    <row r="151" spans="1:12" ht="15">
      <c r="A151" s="169">
        <v>47774</v>
      </c>
      <c r="B151" s="209">
        <v>0</v>
      </c>
      <c r="C151" s="73"/>
      <c r="D151" s="203">
        <v>0</v>
      </c>
      <c r="E151" s="190"/>
      <c r="F151" s="203">
        <v>0</v>
      </c>
      <c r="G151" s="190"/>
      <c r="H151" s="203">
        <v>0</v>
      </c>
      <c r="I151" s="190"/>
      <c r="J151" s="203">
        <v>0</v>
      </c>
      <c r="K151" s="204"/>
      <c r="L151" s="203">
        <v>0</v>
      </c>
    </row>
    <row r="152" spans="1:12" ht="15">
      <c r="A152" s="169">
        <v>47805</v>
      </c>
      <c r="B152" s="209">
        <v>0</v>
      </c>
      <c r="C152" s="73"/>
      <c r="D152" s="203">
        <v>0</v>
      </c>
      <c r="E152" s="190"/>
      <c r="F152" s="203">
        <v>0</v>
      </c>
      <c r="G152" s="190"/>
      <c r="H152" s="203">
        <v>0</v>
      </c>
      <c r="I152" s="190"/>
      <c r="J152" s="203">
        <v>0</v>
      </c>
      <c r="K152" s="204"/>
      <c r="L152" s="203">
        <v>0</v>
      </c>
    </row>
    <row r="153" spans="1:12" ht="15">
      <c r="A153" s="173">
        <v>47835</v>
      </c>
      <c r="B153" s="209">
        <v>0</v>
      </c>
      <c r="C153" s="73"/>
      <c r="D153" s="203">
        <v>0</v>
      </c>
      <c r="E153" s="190"/>
      <c r="F153" s="203">
        <v>0</v>
      </c>
      <c r="G153" s="190"/>
      <c r="H153" s="203">
        <v>0</v>
      </c>
      <c r="I153" s="190"/>
      <c r="J153" s="203">
        <v>0</v>
      </c>
      <c r="K153" s="204"/>
      <c r="L153" s="203">
        <v>0</v>
      </c>
    </row>
    <row r="154" spans="1:12" ht="15">
      <c r="A154" s="169">
        <v>47866</v>
      </c>
      <c r="B154" s="209">
        <v>0</v>
      </c>
      <c r="C154" s="73"/>
      <c r="D154" s="203">
        <v>0</v>
      </c>
      <c r="E154" s="190"/>
      <c r="F154" s="203">
        <v>0</v>
      </c>
      <c r="G154" s="190"/>
      <c r="H154" s="203">
        <v>0</v>
      </c>
      <c r="I154" s="190"/>
      <c r="J154" s="203">
        <v>0</v>
      </c>
      <c r="K154" s="204"/>
      <c r="L154" s="203">
        <v>0</v>
      </c>
    </row>
    <row r="155" spans="1:12" ht="15">
      <c r="A155" s="169">
        <v>47897</v>
      </c>
      <c r="B155" s="209">
        <v>0</v>
      </c>
      <c r="C155" s="73"/>
      <c r="D155" s="203">
        <v>0</v>
      </c>
      <c r="E155" s="190"/>
      <c r="F155" s="203">
        <v>0</v>
      </c>
      <c r="G155" s="190"/>
      <c r="H155" s="203">
        <v>0</v>
      </c>
      <c r="I155" s="190"/>
      <c r="J155" s="203">
        <v>0</v>
      </c>
      <c r="K155" s="204"/>
      <c r="L155" s="203">
        <v>0</v>
      </c>
    </row>
    <row r="156" spans="1:12" ht="15">
      <c r="A156" s="173">
        <v>47925</v>
      </c>
      <c r="B156" s="209">
        <v>0</v>
      </c>
      <c r="C156" s="73"/>
      <c r="D156" s="203">
        <v>0</v>
      </c>
      <c r="E156" s="190"/>
      <c r="F156" s="203">
        <v>0</v>
      </c>
      <c r="G156" s="190"/>
      <c r="H156" s="203">
        <v>0</v>
      </c>
      <c r="I156" s="190"/>
      <c r="J156" s="203">
        <v>0</v>
      </c>
      <c r="K156" s="204"/>
      <c r="L156" s="203">
        <v>0</v>
      </c>
    </row>
    <row r="157" spans="1:12" ht="15">
      <c r="A157" s="169">
        <v>47956</v>
      </c>
      <c r="B157" s="209">
        <v>0</v>
      </c>
      <c r="D157" s="203">
        <v>0</v>
      </c>
      <c r="E157" s="190"/>
      <c r="F157" s="203">
        <v>0</v>
      </c>
      <c r="G157" s="190"/>
      <c r="H157" s="203">
        <v>0</v>
      </c>
      <c r="I157" s="190"/>
      <c r="J157" s="203">
        <v>0</v>
      </c>
      <c r="K157" s="204"/>
      <c r="L157" s="203">
        <v>0</v>
      </c>
    </row>
    <row r="158" spans="1:12" ht="15">
      <c r="A158" s="169">
        <v>47986</v>
      </c>
      <c r="B158" s="209">
        <v>0</v>
      </c>
      <c r="D158" s="203">
        <v>0</v>
      </c>
      <c r="E158" s="190"/>
      <c r="F158" s="203">
        <v>0</v>
      </c>
      <c r="G158" s="190"/>
      <c r="H158" s="203">
        <v>0</v>
      </c>
      <c r="I158" s="190"/>
      <c r="J158" s="203">
        <v>0</v>
      </c>
      <c r="K158" s="204"/>
      <c r="L158" s="203">
        <v>0</v>
      </c>
    </row>
    <row r="159" spans="1:12" ht="15">
      <c r="A159" s="173">
        <v>48017</v>
      </c>
      <c r="B159" s="209">
        <v>0</v>
      </c>
      <c r="D159" s="203">
        <v>0</v>
      </c>
      <c r="E159" s="190"/>
      <c r="F159" s="203">
        <v>0</v>
      </c>
      <c r="G159" s="190"/>
      <c r="H159" s="203">
        <v>0</v>
      </c>
      <c r="I159" s="190"/>
      <c r="J159" s="203">
        <v>0</v>
      </c>
      <c r="K159" s="204"/>
      <c r="L159" s="203">
        <v>0</v>
      </c>
    </row>
    <row r="160" spans="1:12" ht="15">
      <c r="A160" s="169">
        <v>48047</v>
      </c>
      <c r="B160" s="209">
        <v>0</v>
      </c>
      <c r="D160" s="203">
        <v>0</v>
      </c>
      <c r="E160" s="190"/>
      <c r="F160" s="203">
        <v>0</v>
      </c>
      <c r="G160" s="190"/>
      <c r="H160" s="203">
        <v>0</v>
      </c>
      <c r="I160" s="190"/>
      <c r="J160" s="203">
        <v>0</v>
      </c>
      <c r="K160" s="204"/>
      <c r="L160" s="203">
        <v>0</v>
      </c>
    </row>
    <row r="161" spans="1:12" ht="15">
      <c r="A161" s="169">
        <v>48078</v>
      </c>
      <c r="B161" s="209">
        <v>0</v>
      </c>
      <c r="D161" s="203">
        <v>0</v>
      </c>
      <c r="E161" s="190"/>
      <c r="F161" s="203">
        <v>0</v>
      </c>
      <c r="G161" s="190"/>
      <c r="H161" s="203">
        <v>0</v>
      </c>
      <c r="I161" s="190"/>
      <c r="J161" s="203">
        <v>0</v>
      </c>
      <c r="K161" s="204"/>
      <c r="L161" s="203">
        <v>0</v>
      </c>
    </row>
    <row r="162" spans="1:12" ht="15">
      <c r="A162" s="173">
        <v>48109</v>
      </c>
      <c r="B162" s="209">
        <v>0</v>
      </c>
      <c r="D162" s="203">
        <v>0</v>
      </c>
      <c r="E162" s="190"/>
      <c r="F162" s="203">
        <v>0</v>
      </c>
      <c r="G162" s="190"/>
      <c r="H162" s="203">
        <v>0</v>
      </c>
      <c r="I162" s="190"/>
      <c r="J162" s="203">
        <v>0</v>
      </c>
      <c r="K162" s="204"/>
      <c r="L162" s="203">
        <v>0</v>
      </c>
    </row>
    <row r="163" spans="1:12" ht="15">
      <c r="A163" s="169">
        <v>48139</v>
      </c>
      <c r="B163" s="209">
        <v>0</v>
      </c>
      <c r="D163" s="203">
        <v>0</v>
      </c>
      <c r="E163" s="190"/>
      <c r="F163" s="203">
        <v>0</v>
      </c>
      <c r="G163" s="190"/>
      <c r="H163" s="203">
        <v>0</v>
      </c>
      <c r="I163" s="190"/>
      <c r="J163" s="203">
        <v>0</v>
      </c>
      <c r="K163" s="204"/>
      <c r="L163" s="203">
        <v>0</v>
      </c>
    </row>
    <row r="164" spans="1:12" ht="15">
      <c r="A164" s="169">
        <v>48170</v>
      </c>
      <c r="B164" s="209">
        <v>0</v>
      </c>
      <c r="D164" s="203">
        <v>0</v>
      </c>
      <c r="E164" s="190"/>
      <c r="F164" s="203">
        <v>0</v>
      </c>
      <c r="G164" s="190"/>
      <c r="H164" s="203">
        <v>0</v>
      </c>
      <c r="I164" s="190"/>
      <c r="J164" s="203">
        <v>0</v>
      </c>
      <c r="K164" s="204"/>
      <c r="L164" s="203">
        <v>0</v>
      </c>
    </row>
    <row r="165" spans="1:12" ht="15">
      <c r="A165" s="173">
        <v>48200</v>
      </c>
      <c r="B165" s="209">
        <v>0</v>
      </c>
      <c r="D165" s="203">
        <v>0</v>
      </c>
      <c r="E165" s="190"/>
      <c r="F165" s="203">
        <v>0</v>
      </c>
      <c r="G165" s="190"/>
      <c r="H165" s="203">
        <v>0</v>
      </c>
      <c r="I165" s="190"/>
      <c r="J165" s="203">
        <v>0</v>
      </c>
      <c r="K165" s="204"/>
      <c r="L165" s="203">
        <v>0</v>
      </c>
    </row>
    <row r="166" spans="1:12" ht="15">
      <c r="A166" s="169">
        <v>48231</v>
      </c>
      <c r="B166" s="209">
        <v>0</v>
      </c>
      <c r="D166" s="203">
        <v>0</v>
      </c>
      <c r="E166" s="190"/>
      <c r="F166" s="203">
        <v>0</v>
      </c>
      <c r="G166" s="190"/>
      <c r="H166" s="203">
        <v>0</v>
      </c>
      <c r="I166" s="190"/>
      <c r="J166" s="203">
        <v>0</v>
      </c>
      <c r="K166" s="204"/>
      <c r="L166" s="203">
        <v>0</v>
      </c>
    </row>
    <row r="167" spans="1:12" ht="15">
      <c r="A167" s="169">
        <v>48262</v>
      </c>
      <c r="B167" s="209">
        <v>0</v>
      </c>
      <c r="D167" s="203">
        <v>0</v>
      </c>
      <c r="E167" s="190"/>
      <c r="F167" s="203">
        <v>0</v>
      </c>
      <c r="G167" s="190"/>
      <c r="H167" s="203">
        <v>0</v>
      </c>
      <c r="I167" s="190"/>
      <c r="J167" s="203">
        <v>0</v>
      </c>
      <c r="K167" s="204"/>
      <c r="L167" s="203">
        <v>0</v>
      </c>
    </row>
    <row r="168" spans="1:12" ht="15">
      <c r="A168" s="173">
        <v>48291</v>
      </c>
      <c r="B168" s="209">
        <v>0</v>
      </c>
      <c r="D168" s="203">
        <v>0</v>
      </c>
      <c r="E168" s="190"/>
      <c r="F168" s="203">
        <v>0</v>
      </c>
      <c r="G168" s="190"/>
      <c r="H168" s="203">
        <v>0</v>
      </c>
      <c r="I168" s="190"/>
      <c r="J168" s="203">
        <v>0</v>
      </c>
      <c r="K168" s="204"/>
      <c r="L168" s="203">
        <v>0</v>
      </c>
    </row>
    <row r="169" spans="1:12" ht="15">
      <c r="A169" s="169">
        <v>48322</v>
      </c>
      <c r="B169" s="209">
        <v>0</v>
      </c>
      <c r="D169" s="203">
        <v>0</v>
      </c>
      <c r="E169" s="194"/>
      <c r="F169" s="203">
        <v>0</v>
      </c>
      <c r="G169" s="194"/>
      <c r="H169" s="203">
        <v>0</v>
      </c>
      <c r="I169" s="194"/>
      <c r="J169" s="203">
        <v>0</v>
      </c>
      <c r="K169" s="205"/>
      <c r="L169" s="203">
        <v>0</v>
      </c>
    </row>
    <row r="170" spans="1:12" ht="15">
      <c r="A170" s="169">
        <v>48352</v>
      </c>
      <c r="B170" s="209">
        <v>0</v>
      </c>
      <c r="D170" s="203">
        <v>0</v>
      </c>
      <c r="E170" s="194"/>
      <c r="F170" s="203">
        <v>0</v>
      </c>
      <c r="G170" s="194"/>
      <c r="H170" s="203">
        <v>0</v>
      </c>
      <c r="I170" s="194"/>
      <c r="J170" s="203">
        <v>0</v>
      </c>
      <c r="K170" s="205"/>
      <c r="L170" s="203">
        <v>0</v>
      </c>
    </row>
    <row r="171" spans="1:12" ht="15">
      <c r="A171" s="173">
        <v>48383</v>
      </c>
      <c r="B171" s="209">
        <v>0</v>
      </c>
      <c r="D171" s="203">
        <v>0</v>
      </c>
      <c r="E171" s="194"/>
      <c r="F171" s="203">
        <v>0</v>
      </c>
      <c r="G171" s="194"/>
      <c r="H171" s="203">
        <v>0</v>
      </c>
      <c r="I171" s="194"/>
      <c r="J171" s="203">
        <v>0</v>
      </c>
      <c r="K171" s="205"/>
      <c r="L171" s="203">
        <v>0</v>
      </c>
    </row>
    <row r="172" spans="1:12" ht="15">
      <c r="A172" s="169">
        <v>48413</v>
      </c>
      <c r="B172" s="209">
        <v>0</v>
      </c>
      <c r="D172" s="203">
        <v>0</v>
      </c>
      <c r="E172" s="194"/>
      <c r="F172" s="203">
        <v>0</v>
      </c>
      <c r="G172" s="194"/>
      <c r="H172" s="203">
        <v>0</v>
      </c>
      <c r="I172" s="194"/>
      <c r="J172" s="203">
        <v>0</v>
      </c>
      <c r="K172" s="205"/>
      <c r="L172" s="203">
        <v>0</v>
      </c>
    </row>
    <row r="173" spans="1:12" ht="15">
      <c r="A173" s="169">
        <v>48444</v>
      </c>
      <c r="B173" s="209">
        <v>0</v>
      </c>
      <c r="D173" s="203">
        <v>0</v>
      </c>
      <c r="E173" s="194"/>
      <c r="F173" s="203">
        <v>0</v>
      </c>
      <c r="G173" s="194"/>
      <c r="H173" s="203">
        <v>0</v>
      </c>
      <c r="I173" s="194"/>
      <c r="J173" s="203">
        <v>0</v>
      </c>
      <c r="K173" s="205"/>
      <c r="L173" s="203">
        <v>0</v>
      </c>
    </row>
    <row r="174" spans="1:12" ht="15">
      <c r="A174" s="173">
        <v>48475</v>
      </c>
      <c r="B174" s="209">
        <v>0</v>
      </c>
      <c r="D174" s="203">
        <v>0</v>
      </c>
      <c r="E174" s="194"/>
      <c r="F174" s="203">
        <v>0</v>
      </c>
      <c r="G174" s="194"/>
      <c r="H174" s="203">
        <v>0</v>
      </c>
      <c r="I174" s="194"/>
      <c r="J174" s="203">
        <v>0</v>
      </c>
      <c r="K174" s="205"/>
      <c r="L174" s="203">
        <v>0</v>
      </c>
    </row>
    <row r="175" spans="1:12" ht="15">
      <c r="A175" s="169">
        <v>48505</v>
      </c>
      <c r="B175" s="209">
        <v>0</v>
      </c>
      <c r="D175" s="203">
        <v>0</v>
      </c>
      <c r="E175" s="194"/>
      <c r="F175" s="203">
        <v>0</v>
      </c>
      <c r="G175" s="194"/>
      <c r="H175" s="203">
        <v>0</v>
      </c>
      <c r="I175" s="194"/>
      <c r="J175" s="203">
        <v>0</v>
      </c>
      <c r="K175" s="205"/>
      <c r="L175" s="203">
        <v>0</v>
      </c>
    </row>
    <row r="176" spans="1:12" ht="15">
      <c r="A176" s="169">
        <v>48536</v>
      </c>
      <c r="B176" s="209">
        <v>0</v>
      </c>
      <c r="D176" s="203">
        <v>0</v>
      </c>
      <c r="E176" s="194"/>
      <c r="F176" s="203">
        <v>0</v>
      </c>
      <c r="G176" s="194"/>
      <c r="H176" s="203">
        <v>0</v>
      </c>
      <c r="I176" s="194"/>
      <c r="J176" s="203">
        <v>0</v>
      </c>
      <c r="K176" s="205"/>
      <c r="L176" s="203">
        <v>0</v>
      </c>
    </row>
    <row r="177" spans="1:12" ht="15">
      <c r="A177" s="173">
        <v>48566</v>
      </c>
      <c r="B177" s="209">
        <v>0</v>
      </c>
      <c r="D177" s="203">
        <v>0</v>
      </c>
      <c r="E177" s="194"/>
      <c r="F177" s="203">
        <v>0</v>
      </c>
      <c r="G177" s="194"/>
      <c r="H177" s="203">
        <v>0</v>
      </c>
      <c r="I177" s="194"/>
      <c r="J177" s="203">
        <v>0</v>
      </c>
      <c r="K177" s="205"/>
      <c r="L177" s="203">
        <v>0</v>
      </c>
    </row>
    <row r="178" spans="1:12" ht="15">
      <c r="A178" s="169">
        <v>48597</v>
      </c>
      <c r="B178" s="209">
        <v>0</v>
      </c>
      <c r="D178" s="203">
        <v>0</v>
      </c>
      <c r="E178" s="194"/>
      <c r="F178" s="203">
        <v>0</v>
      </c>
      <c r="G178" s="194"/>
      <c r="H178" s="203">
        <v>0</v>
      </c>
      <c r="I178" s="194"/>
      <c r="J178" s="203">
        <v>0</v>
      </c>
      <c r="K178" s="205"/>
      <c r="L178" s="203">
        <v>0</v>
      </c>
    </row>
    <row r="179" spans="1:12" ht="15">
      <c r="A179" s="169">
        <v>48628</v>
      </c>
      <c r="B179" s="209">
        <v>0</v>
      </c>
      <c r="D179" s="203">
        <v>0</v>
      </c>
      <c r="E179" s="194"/>
      <c r="F179" s="203">
        <v>0</v>
      </c>
      <c r="G179" s="194"/>
      <c r="H179" s="203">
        <v>0</v>
      </c>
      <c r="I179" s="194"/>
      <c r="J179" s="203">
        <v>0</v>
      </c>
      <c r="K179" s="205"/>
      <c r="L179" s="203">
        <v>0</v>
      </c>
    </row>
    <row r="180" spans="1:12" ht="15">
      <c r="A180" s="173">
        <v>48656</v>
      </c>
      <c r="B180" s="209">
        <v>0</v>
      </c>
      <c r="D180" s="203">
        <v>0</v>
      </c>
      <c r="E180" s="194"/>
      <c r="F180" s="203">
        <v>0</v>
      </c>
      <c r="G180" s="194"/>
      <c r="H180" s="203">
        <v>0</v>
      </c>
      <c r="I180" s="194"/>
      <c r="J180" s="203">
        <v>0</v>
      </c>
      <c r="K180" s="205"/>
      <c r="L180" s="203">
        <v>0</v>
      </c>
    </row>
    <row r="181" spans="1:12" ht="15">
      <c r="A181" s="169">
        <v>48687</v>
      </c>
      <c r="B181" s="209">
        <v>0</v>
      </c>
      <c r="D181" s="203">
        <v>0</v>
      </c>
      <c r="E181" s="194"/>
      <c r="F181" s="203">
        <v>0</v>
      </c>
      <c r="G181" s="194"/>
      <c r="H181" s="203">
        <v>0</v>
      </c>
      <c r="I181" s="194"/>
      <c r="J181" s="203">
        <v>0</v>
      </c>
      <c r="K181" s="205"/>
      <c r="L181" s="203">
        <v>0</v>
      </c>
    </row>
    <row r="182" spans="1:12" ht="15.75" thickBot="1">
      <c r="A182" s="169">
        <v>48717</v>
      </c>
      <c r="B182" s="210">
        <v>0</v>
      </c>
      <c r="D182" s="206">
        <v>0</v>
      </c>
      <c r="E182" s="194"/>
      <c r="F182" s="206">
        <v>0</v>
      </c>
      <c r="G182" s="194"/>
      <c r="H182" s="206">
        <v>0</v>
      </c>
      <c r="I182" s="194"/>
      <c r="J182" s="206">
        <v>0</v>
      </c>
      <c r="K182" s="205"/>
      <c r="L182" s="206">
        <v>0</v>
      </c>
    </row>
    <row r="183" spans="1:13" s="75" customFormat="1" ht="15.75" customHeight="1" thickBot="1">
      <c r="A183" s="6"/>
      <c r="B183" s="171">
        <f>SUM(B3:B182)</f>
        <v>1</v>
      </c>
      <c r="C183" s="6"/>
      <c r="D183" s="171">
        <f>SUM(D3:D182)</f>
        <v>0.9999999999999998</v>
      </c>
      <c r="E183" s="6"/>
      <c r="F183" s="171">
        <f>SUM(F3:F182)</f>
        <v>1</v>
      </c>
      <c r="G183" s="6"/>
      <c r="H183" s="171">
        <f>SUM(H3:H182)</f>
        <v>0.9999999999999998</v>
      </c>
      <c r="I183" s="6"/>
      <c r="J183" s="171">
        <f>SUM(J3:J182)</f>
        <v>0.9999999999999997</v>
      </c>
      <c r="L183" s="171">
        <f>SUM(L3:L182)</f>
        <v>0.9999999999999998</v>
      </c>
      <c r="M183" s="6"/>
    </row>
    <row r="184" spans="2:12" ht="12.75">
      <c r="B184" s="75">
        <f>1-B183</f>
        <v>0</v>
      </c>
      <c r="D184" s="75">
        <f>1-D183</f>
        <v>0</v>
      </c>
      <c r="F184" s="75">
        <f>1-F183</f>
        <v>0</v>
      </c>
      <c r="H184" s="75">
        <f>1-H183</f>
        <v>0</v>
      </c>
      <c r="J184" s="75">
        <f>1-J183</f>
        <v>0</v>
      </c>
      <c r="K184" s="75"/>
      <c r="L184" s="75">
        <f>1-L183</f>
        <v>0</v>
      </c>
    </row>
    <row r="185" spans="2:12" ht="12.75">
      <c r="B185" s="75"/>
      <c r="D185" s="75"/>
      <c r="F185" s="75"/>
      <c r="H185" s="75"/>
      <c r="J185" s="75"/>
      <c r="K185" s="75"/>
      <c r="L185" s="75"/>
    </row>
  </sheetData>
  <sheetProtection password="C5F9" sheet="1"/>
  <mergeCells count="1">
    <mergeCell ref="A1:A2"/>
  </mergeCells>
  <conditionalFormatting sqref="D183">
    <cfRule type="cellIs" priority="34" dxfId="1" operator="notEqual" stopIfTrue="1">
      <formula>1</formula>
    </cfRule>
  </conditionalFormatting>
  <conditionalFormatting sqref="F183">
    <cfRule type="cellIs" priority="33" dxfId="1" operator="notEqual" stopIfTrue="1">
      <formula>1</formula>
    </cfRule>
  </conditionalFormatting>
  <conditionalFormatting sqref="H183">
    <cfRule type="cellIs" priority="32" dxfId="1" operator="notEqual" stopIfTrue="1">
      <formula>1</formula>
    </cfRule>
  </conditionalFormatting>
  <conditionalFormatting sqref="J183">
    <cfRule type="cellIs" priority="31" dxfId="1" operator="notEqual" stopIfTrue="1">
      <formula>1</formula>
    </cfRule>
  </conditionalFormatting>
  <conditionalFormatting sqref="L183">
    <cfRule type="cellIs" priority="30" dxfId="1" operator="notEqual" stopIfTrue="1">
      <formula>1</formula>
    </cfRule>
  </conditionalFormatting>
  <conditionalFormatting sqref="B183">
    <cfRule type="cellIs" priority="29" dxfId="1" operator="notEqual" stopIfTrue="1">
      <formula>1</formula>
    </cfRule>
  </conditionalFormatting>
  <conditionalFormatting sqref="D3:D182 F3:F182 H3:H182 J3:J182 L3:L182">
    <cfRule type="expression" priority="1" dxfId="0" stopIfTrue="1">
      <formula>D3&lt;&gt;0</formula>
    </cfRule>
  </conditionalFormatting>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Diego Mauricio Valencia Figueroa</cp:lastModifiedBy>
  <cp:lastPrinted>2008-01-08T21:41:33Z</cp:lastPrinted>
  <dcterms:created xsi:type="dcterms:W3CDTF">2002-04-18T20:31:17Z</dcterms:created>
  <dcterms:modified xsi:type="dcterms:W3CDTF">2023-11-17T17:48:30Z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